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96" yWindow="132" windowWidth="13692" windowHeight="1362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JD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  <comment ref="C44" authorId="2">
      <text>
        <r>
          <rPr>
            <b/>
            <sz val="8"/>
            <rFont val="Tahoma"/>
            <family val="2"/>
          </rPr>
          <t>JD:</t>
        </r>
        <r>
          <rPr>
            <sz val="8"/>
            <rFont val="Tahoma"/>
            <family val="2"/>
          </rPr>
          <t xml:space="preserve">
zonder suiker</t>
        </r>
      </text>
    </comment>
  </commentList>
</comments>
</file>

<file path=xl/sharedStrings.xml><?xml version="1.0" encoding="utf-8"?>
<sst xmlns="http://schemas.openxmlformats.org/spreadsheetml/2006/main" count="797" uniqueCount="710">
  <si>
    <t xml:space="preserve"> &lt; Naam Bier</t>
  </si>
  <si>
    <t>Beslagdikte &gt;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</si>
  <si>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</si>
  <si>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</si>
  <si>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</si>
  <si>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</si>
  <si>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</si>
  <si>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</si>
  <si>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</si>
  <si>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</si>
  <si>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</si>
  <si>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</si>
  <si>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</si>
  <si>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</si>
  <si>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</si>
  <si>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</si>
  <si>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</si>
  <si>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</si>
  <si>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</si>
  <si>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</si>
  <si>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</si>
  <si>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</si>
  <si>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</si>
  <si>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</si>
  <si>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</si>
  <si>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</si>
  <si>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</si>
  <si>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</si>
  <si>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</si>
  <si>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</si>
  <si>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</si>
  <si>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</si>
  <si>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</si>
  <si>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</si>
  <si>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</si>
  <si>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</si>
  <si>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</si>
  <si>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</si>
  <si>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</si>
  <si>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</si>
  <si>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</si>
  <si>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</si>
  <si>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</si>
  <si>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</si>
  <si>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</si>
  <si>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</si>
  <si>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</si>
  <si>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</si>
  <si>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</si>
  <si>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</si>
  <si>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</si>
  <si>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</si>
  <si>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</si>
  <si>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</si>
  <si>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</si>
  <si>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</si>
  <si>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</si>
  <si>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</si>
  <si>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</si>
  <si>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</si>
  <si>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</si>
  <si>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</si>
  <si>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</si>
  <si>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</si>
  <si>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</si>
  <si>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</si>
  <si>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</si>
  <si>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</si>
  <si>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</si>
  <si>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</si>
  <si>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</si>
  <si>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</si>
  <si>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</si>
  <si>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</si>
  <si>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</si>
  <si>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</si>
  <si>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</si>
  <si>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</si>
  <si>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</si>
  <si>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</si>
  <si>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</si>
  <si>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</si>
  <si>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</si>
  <si>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</si>
  <si>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</si>
  <si>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</si>
  <si>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</si>
  <si>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</si>
  <si>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</si>
  <si>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</si>
  <si>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</si>
  <si>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</si>
  <si>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</si>
  <si>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</si>
  <si>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</si>
  <si>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</si>
  <si>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</si>
  <si>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</si>
  <si>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</si>
  <si>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</si>
  <si>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</si>
  <si>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</si>
  <si>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</si>
  <si>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</si>
  <si>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</si>
  <si>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</si>
  <si>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</si>
  <si>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</si>
  <si>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</si>
  <si>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</si>
  <si>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</si>
  <si>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</si>
  <si>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</si>
  <si>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</si>
  <si>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</si>
  <si>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</si>
  <si>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</si>
  <si>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</si>
  <si>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</si>
  <si>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</si>
  <si>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</si>
  <si>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</si>
  <si>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</si>
  <si>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</si>
  <si>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</si>
  <si>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</si>
  <si>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</si>
  <si>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</si>
  <si>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</si>
  <si>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</si>
  <si>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</si>
  <si>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</si>
  <si>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</si>
  <si>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</si>
  <si>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</si>
  <si>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</si>
  <si>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</si>
  <si>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</si>
  <si>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</si>
  <si>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</si>
  <si>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</si>
  <si>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</si>
  <si>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</si>
  <si>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</si>
  <si>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</si>
  <si>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</si>
  <si>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</si>
  <si>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</si>
  <si>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</si>
  <si>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</si>
  <si>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</si>
  <si>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</si>
  <si>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</si>
  <si>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</si>
  <si>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</si>
  <si>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</si>
  <si>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</si>
  <si>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</si>
  <si>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</si>
  <si>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</si>
  <si>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</si>
  <si>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</si>
  <si>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</si>
  <si>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</si>
  <si>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</si>
  <si>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</si>
  <si>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</si>
  <si>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</si>
  <si>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</si>
  <si>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</si>
  <si>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</si>
  <si>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</si>
  <si>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</si>
  <si>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</si>
  <si>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</si>
  <si>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</si>
  <si>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</si>
  <si>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</si>
  <si>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</si>
  <si>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</si>
  <si>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</si>
  <si>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</si>
  <si>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</si>
  <si>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</si>
  <si>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</si>
  <si>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</si>
  <si>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</si>
  <si>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</si>
  <si>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</si>
  <si>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</si>
  <si>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</si>
  <si>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</si>
  <si>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</si>
  <si>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</si>
  <si>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</si>
  <si>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</si>
  <si>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</si>
  <si>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</si>
  <si>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</si>
  <si>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</si>
  <si>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</si>
  <si>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</si>
  <si>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</si>
  <si>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</si>
  <si>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</si>
  <si>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</si>
  <si>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</si>
  <si>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</si>
  <si>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</si>
  <si>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</si>
  <si>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</si>
  <si>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</si>
  <si>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</si>
  <si>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</si>
  <si>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</si>
  <si>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</si>
  <si>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</si>
  <si>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</si>
  <si>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</si>
  <si>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</si>
  <si>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</si>
  <si>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</si>
  <si>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</si>
  <si>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</si>
  <si>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</si>
  <si>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</si>
  <si>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</si>
  <si>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</si>
  <si>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</si>
  <si>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</si>
  <si>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</si>
  <si>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</si>
  <si>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</si>
  <si>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</si>
  <si>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</si>
  <si>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</si>
  <si>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</si>
  <si>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</si>
  <si>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</si>
  <si>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</si>
  <si>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</si>
  <si>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</si>
  <si>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</si>
  <si>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</si>
  <si>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</si>
  <si>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</si>
  <si>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</si>
  <si>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</si>
  <si>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</si>
  <si>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</si>
  <si>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</si>
  <si>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</si>
  <si>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</si>
  <si>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</si>
  <si>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</si>
  <si>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</si>
  <si>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</si>
  <si>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</si>
  <si>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</si>
  <si>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</si>
  <si>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</si>
  <si>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</si>
  <si>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</si>
  <si>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</si>
  <si>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</si>
  <si>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</si>
  <si>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</si>
  <si>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</si>
  <si>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</si>
  <si>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</si>
  <si>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</si>
  <si>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</si>
  <si>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</si>
  <si>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</si>
  <si>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</si>
  <si>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</si>
  <si>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</si>
  <si>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</si>
  <si>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</si>
  <si>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</si>
  <si>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</si>
  <si>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</si>
  <si>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</si>
  <si>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</si>
  <si>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</si>
  <si>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</si>
  <si>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</si>
  <si>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</si>
  <si>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</si>
  <si>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</si>
  <si>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</si>
  <si>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</si>
  <si>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</si>
  <si>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</si>
  <si>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</si>
  <si>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</si>
  <si>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</si>
  <si>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</si>
  <si>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</si>
  <si>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</si>
  <si>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</si>
  <si>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</si>
  <si>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</si>
  <si>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</si>
  <si>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</si>
  <si>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</si>
  <si>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</si>
  <si>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</si>
  <si>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</si>
  <si>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</si>
  <si>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</si>
  <si>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</si>
  <si>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</si>
  <si>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</si>
  <si>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</si>
  <si>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</si>
  <si>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</si>
  <si>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</si>
  <si>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</si>
  <si>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</si>
  <si>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</si>
  <si>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</si>
  <si>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</si>
  <si>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</si>
  <si>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</si>
  <si>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</si>
  <si>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</si>
  <si>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</si>
  <si>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</si>
  <si>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</si>
  <si>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</si>
  <si>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</si>
  <si>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</si>
  <si>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</si>
  <si>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</si>
  <si>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</si>
  <si>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</si>
  <si>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</si>
  <si>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</si>
  <si>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</si>
  <si>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</si>
  <si>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</si>
  <si>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</si>
  <si>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</si>
  <si>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</si>
  <si>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</si>
  <si>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</si>
  <si>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</si>
  <si>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</si>
  <si>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</si>
  <si>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</si>
  <si>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</si>
  <si>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</si>
  <si>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</si>
  <si>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</si>
  <si>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</si>
  <si>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</si>
  <si>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</si>
  <si>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</si>
  <si>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</si>
  <si>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</si>
  <si>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</si>
  <si>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</si>
  <si>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</si>
  <si>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</si>
  <si>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</si>
  <si>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</si>
  <si>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</si>
  <si>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</si>
  <si>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</si>
  <si>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</si>
  <si>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</si>
  <si>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</si>
  <si>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</si>
  <si>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</si>
  <si>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</si>
  <si>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</si>
  <si>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</si>
  <si>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</si>
  <si>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</si>
  <si>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</si>
  <si>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</si>
  <si>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</si>
  <si>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</si>
  <si>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</si>
  <si>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</si>
  <si>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</si>
  <si>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</si>
  <si>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</si>
  <si>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</si>
  <si>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</si>
  <si>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</si>
  <si>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</si>
  <si>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</si>
  <si>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</si>
  <si>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</si>
  <si>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</si>
  <si>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</si>
  <si>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</si>
  <si>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</si>
  <si>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</si>
  <si>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</si>
  <si>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</si>
  <si>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</si>
  <si>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</si>
  <si>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</si>
  <si>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</si>
  <si>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</si>
  <si>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</si>
  <si>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</si>
  <si>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</si>
  <si>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</si>
  <si>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</si>
  <si>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</si>
  <si>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</si>
  <si>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</si>
  <si>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</si>
  <si>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</si>
  <si>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</si>
  <si>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</si>
  <si>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</si>
  <si>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</si>
  <si>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</si>
  <si>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</si>
  <si>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</si>
  <si>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</si>
  <si>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</si>
  <si>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</si>
  <si>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</si>
  <si>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</si>
  <si>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</si>
  <si>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</si>
  <si>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</si>
  <si>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</si>
  <si>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</si>
  <si>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</si>
  <si>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</si>
  <si>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</si>
  <si>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</si>
  <si>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</si>
  <si>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</si>
  <si>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</si>
  <si>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</si>
  <si>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</si>
  <si>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</si>
  <si>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</si>
  <si>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</si>
  <si>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</si>
  <si>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</si>
  <si>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</si>
  <si>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</si>
  <si>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</si>
  <si>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</si>
  <si>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</si>
  <si>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</si>
  <si>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</si>
  <si>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</si>
  <si>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</si>
  <si>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</si>
  <si>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</si>
  <si>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</si>
  <si>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</si>
  <si>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</si>
  <si>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</si>
  <si>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</si>
  <si>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</si>
  <si>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</si>
  <si>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</si>
  <si>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</si>
  <si>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</si>
  <si>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</si>
  <si>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</si>
  <si>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</si>
  <si>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</si>
  <si>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</si>
  <si>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</si>
  <si>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</si>
  <si>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</si>
  <si>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</si>
  <si>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</si>
  <si>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</si>
  <si>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</si>
  <si>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</si>
  <si>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</si>
  <si>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</si>
  <si>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</si>
  <si>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</si>
  <si>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</si>
  <si>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</si>
  <si>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</si>
  <si>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</si>
  <si>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</si>
  <si>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</si>
  <si>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</si>
  <si>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</si>
  <si>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</si>
  <si>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</si>
  <si>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</si>
  <si>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</si>
  <si>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</si>
  <si>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</si>
  <si>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</si>
  <si>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</si>
  <si>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</si>
  <si>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</si>
  <si>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</si>
  <si>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</si>
  <si>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</si>
  <si>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</si>
  <si>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</si>
  <si>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</si>
  <si>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</si>
  <si>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</si>
  <si>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</si>
  <si>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</si>
  <si>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</si>
  <si>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</si>
  <si>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</si>
  <si>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</si>
  <si>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</si>
  <si>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</si>
  <si>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</si>
  <si>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</si>
  <si>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</si>
  <si>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</si>
  <si>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</si>
  <si>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</si>
  <si>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</si>
  <si>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</si>
  <si>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</si>
  <si>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</si>
  <si>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</si>
  <si>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</si>
  <si>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</si>
  <si>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</si>
  <si>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</si>
  <si>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</si>
  <si>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</si>
  <si>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</si>
  <si>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</si>
  <si>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</si>
  <si>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</si>
  <si>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</si>
  <si>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</si>
  <si>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</si>
  <si>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</si>
  <si>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</si>
  <si>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</si>
  <si>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</si>
  <si>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</si>
  <si>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</si>
  <si>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</si>
  <si>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</si>
  <si>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</si>
  <si>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</si>
  <si>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</si>
  <si>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</si>
  <si>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</si>
  <si>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</si>
  <si>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</si>
  <si>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</si>
  <si>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</si>
  <si>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</si>
  <si>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</si>
  <si>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</si>
  <si>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</si>
  <si>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</si>
  <si>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</si>
  <si>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</si>
  <si>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</si>
  <si>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</si>
  <si>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</si>
  <si>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</si>
  <si>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</si>
  <si>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</si>
  <si>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</si>
  <si>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</si>
  <si>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</si>
  <si>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</si>
  <si>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</si>
  <si>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</si>
  <si>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</si>
  <si>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</si>
  <si>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</si>
  <si>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</si>
  <si>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</si>
  <si>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</si>
  <si>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</si>
  <si>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</si>
  <si>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</si>
  <si>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</si>
  <si>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</si>
  <si>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</si>
  <si>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</si>
  <si>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</si>
  <si>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</si>
  <si>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</si>
  <si>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</si>
  <si>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</si>
  <si>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</si>
  <si>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</si>
  <si>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</si>
  <si>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</si>
  <si>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</si>
  <si>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</si>
  <si>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</si>
  <si>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</si>
  <si>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</si>
  <si>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</si>
  <si>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</si>
  <si>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</si>
  <si>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</si>
  <si>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</si>
  <si>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</si>
  <si>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</si>
  <si>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</si>
  <si>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</si>
  <si>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</si>
  <si>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</si>
  <si>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</si>
  <si>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</si>
  <si>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</si>
  <si>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</si>
  <si>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</si>
  <si>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</si>
  <si>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</si>
  <si>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</si>
  <si>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</si>
  <si>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</si>
  <si>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</si>
  <si>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</si>
  <si>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</si>
  <si>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</si>
  <si>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</si>
  <si>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</si>
  <si>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</si>
  <si>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</si>
  <si>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</si>
  <si>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</si>
  <si>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</si>
  <si>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</si>
  <si>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</si>
  <si>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</si>
  <si>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</si>
  <si>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</si>
  <si>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</si>
  <si>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</si>
  <si>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</si>
  <si>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</si>
  <si>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</si>
  <si>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</si>
  <si>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</si>
  <si>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</si>
  <si>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</si>
  <si>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</si>
  <si>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</si>
  <si>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</si>
  <si>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</si>
  <si>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</si>
  <si>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</si>
  <si>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</si>
  <si>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</si>
  <si>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</si>
  <si>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</si>
  <si>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</si>
  <si>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</si>
  <si>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</si>
  <si>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</si>
  <si>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</si>
  <si>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</si>
  <si>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</si>
  <si>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</si>
  <si>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</si>
  <si>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</si>
  <si>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</si>
  <si>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</si>
  <si>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</si>
  <si>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</si>
  <si>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</si>
  <si>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</si>
  <si>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</si>
  <si>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</si>
  <si>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</si>
  <si>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</si>
  <si>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</si>
  <si>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</si>
  <si>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</si>
  <si>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</si>
  <si>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</si>
  <si>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</si>
  <si>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</si>
  <si>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</si>
  <si>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</si>
  <si>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</si>
  <si>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</si>
  <si>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</si>
  <si>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</si>
  <si>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</si>
  <si>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</si>
  <si>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</si>
  <si>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S.G.</t>
  </si>
  <si>
    <t>Advies</t>
  </si>
  <si>
    <t>Palemout 9</t>
  </si>
  <si>
    <t>DUN</t>
  </si>
  <si>
    <t>PELL</t>
  </si>
  <si>
    <t>Kauwbier v2</t>
  </si>
  <si>
    <t>Z</t>
  </si>
  <si>
    <t>Recept 32</t>
  </si>
  <si>
    <t>REFRAC</t>
  </si>
  <si>
    <t>Etiket:</t>
  </si>
</sst>
</file>

<file path=xl/styles.xml><?xml version="1.0" encoding="utf-8"?>
<styleSheet xmlns="http://schemas.openxmlformats.org/spreadsheetml/2006/main">
  <numFmts count="6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&quot;EBC&quot;"/>
    <numFmt numFmtId="194" formatCode="0.0\%"/>
    <numFmt numFmtId="195" formatCode="0&quot;°C&quot;"/>
    <numFmt numFmtId="196" formatCode="0.0&quot;L/kg&quot;"/>
    <numFmt numFmtId="197" formatCode="&quot;op &quot;0&quot; °C&quot;"/>
    <numFmt numFmtId="198" formatCode="0&quot; °C&quot;"/>
    <numFmt numFmtId="199" formatCode="0&quot; min.&quot;"/>
    <numFmt numFmtId="200" formatCode="0.00&quot; Pt°&quot;"/>
    <numFmt numFmtId="201" formatCode="0&quot; kW&quot;"/>
    <numFmt numFmtId="202" formatCode="&quot;of &quot;0.0&quot; °Pt&quot;"/>
    <numFmt numFmtId="203" formatCode="&quot;of &quot;0.0&quot;°Bx&quot;"/>
    <numFmt numFmtId="204" formatCode="0&quot; g.&quot;"/>
    <numFmt numFmtId="205" formatCode="&quot;SG=&quot;0"/>
    <numFmt numFmtId="206" formatCode="0.0&quot; °Bx&quot;"/>
    <numFmt numFmtId="207" formatCode="0.0&quot; °P&quot;"/>
    <numFmt numFmtId="208" formatCode="0.00&quot; Brix&quot;"/>
    <numFmt numFmtId="209" formatCode="0.0&quot; g/L&quot;"/>
    <numFmt numFmtId="210" formatCode="&quot;SG=&quot;0.0"/>
    <numFmt numFmtId="211" formatCode="0&quot; d.&quot;"/>
    <numFmt numFmtId="212" formatCode="&quot;END &quot;mmm\ yy"/>
    <numFmt numFmtId="213" formatCode="0.000&quot; kg&quot;"/>
    <numFmt numFmtId="214" formatCode="0.0&quot; g.&quot;"/>
    <numFmt numFmtId="215" formatCode="0.0&quot; cl&quot;"/>
    <numFmt numFmtId="216" formatCode="0.0&quot; °C&quot;"/>
    <numFmt numFmtId="217" formatCode="0.0&quot; st.&quot;"/>
    <numFmt numFmtId="218" formatCode="0.0&quot; bakken&quot;"/>
    <numFmt numFmtId="219" formatCode="0.0&quot; flesjes&quot;"/>
    <numFmt numFmtId="220" formatCode="&quot;+&quot;0.0&quot; flesjes&quot;"/>
    <numFmt numFmtId="221" formatCode="0&quot; bakken&quot;"/>
    <numFmt numFmtId="222" formatCode="&quot;+ &quot;0.0&quot; flesjes&quot;"/>
    <numFmt numFmtId="223" formatCode="&quot;+ &quot;0&quot; flesjes&quot;"/>
    <numFmt numFmtId="224" formatCode="[$-813]dd\-mmm\-yy;@"/>
  </numFmts>
  <fonts count="114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 locked="0"/>
    </xf>
    <xf numFmtId="183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80" fontId="3" fillId="39" borderId="19" xfId="0" applyNumberFormat="1" applyFont="1" applyFill="1" applyBorder="1" applyAlignment="1" applyProtection="1">
      <alignment horizontal="center" vertical="center"/>
      <protection/>
    </xf>
    <xf numFmtId="185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80" fontId="28" fillId="39" borderId="21" xfId="0" applyNumberFormat="1" applyFont="1" applyFill="1" applyBorder="1" applyAlignment="1" applyProtection="1">
      <alignment horizontal="center" vertical="center"/>
      <protection/>
    </xf>
    <xf numFmtId="180" fontId="30" fillId="39" borderId="21" xfId="0" applyNumberFormat="1" applyFont="1" applyFill="1" applyBorder="1" applyAlignment="1" applyProtection="1">
      <alignment horizontal="center" vertical="center"/>
      <protection/>
    </xf>
    <xf numFmtId="180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Border="1" applyAlignment="1" applyProtection="1">
      <alignment horizontal="center" vertical="center"/>
      <protection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80" fontId="28" fillId="0" borderId="21" xfId="0" applyNumberFormat="1" applyFont="1" applyFill="1" applyBorder="1" applyAlignment="1" applyProtection="1">
      <alignment horizontal="center" vertical="center"/>
      <protection/>
    </xf>
    <xf numFmtId="180" fontId="30" fillId="0" borderId="21" xfId="0" applyNumberFormat="1" applyFont="1" applyFill="1" applyBorder="1" applyAlignment="1" applyProtection="1">
      <alignment horizontal="center" vertical="center"/>
      <protection/>
    </xf>
    <xf numFmtId="180" fontId="31" fillId="0" borderId="22" xfId="0" applyNumberFormat="1" applyFont="1" applyBorder="1" applyAlignment="1" applyProtection="1">
      <alignment horizontal="center" vertical="center"/>
      <protection/>
    </xf>
    <xf numFmtId="186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85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85" fontId="7" fillId="0" borderId="23" xfId="0" applyNumberFormat="1" applyFont="1" applyBorder="1" applyAlignment="1" applyProtection="1">
      <alignment horizontal="center" vertical="center"/>
      <protection locked="0"/>
    </xf>
    <xf numFmtId="180" fontId="28" fillId="0" borderId="21" xfId="0" applyNumberFormat="1" applyFont="1" applyBorder="1" applyAlignment="1" applyProtection="1">
      <alignment horizontal="center" vertical="center"/>
      <protection/>
    </xf>
    <xf numFmtId="180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87" fontId="34" fillId="35" borderId="24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9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85" fontId="7" fillId="39" borderId="23" xfId="0" applyNumberFormat="1" applyFont="1" applyFill="1" applyBorder="1" applyAlignment="1" applyProtection="1">
      <alignment horizontal="center" vertical="center"/>
      <protection locked="0"/>
    </xf>
    <xf numFmtId="189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5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1" fillId="0" borderId="27" xfId="0" applyNumberFormat="1" applyFont="1" applyBorder="1" applyAlignment="1" applyProtection="1">
      <alignment horizontal="center" vertical="center"/>
      <protection/>
    </xf>
    <xf numFmtId="180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80" fontId="3" fillId="34" borderId="19" xfId="0" applyNumberFormat="1" applyFont="1" applyFill="1" applyBorder="1" applyAlignment="1" applyProtection="1">
      <alignment horizontal="center" vertical="center"/>
      <protection/>
    </xf>
    <xf numFmtId="180" fontId="28" fillId="34" borderId="21" xfId="0" applyNumberFormat="1" applyFont="1" applyFill="1" applyBorder="1" applyAlignment="1" applyProtection="1">
      <alignment horizontal="center" vertical="center"/>
      <protection/>
    </xf>
    <xf numFmtId="180" fontId="31" fillId="34" borderId="19" xfId="0" applyNumberFormat="1" applyFont="1" applyFill="1" applyBorder="1" applyAlignment="1" applyProtection="1">
      <alignment horizontal="center" vertical="center"/>
      <protection/>
    </xf>
    <xf numFmtId="180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80" fontId="3" fillId="34" borderId="33" xfId="0" applyNumberFormat="1" applyFont="1" applyFill="1" applyBorder="1" applyAlignment="1" applyProtection="1">
      <alignment horizontal="center" vertical="center"/>
      <protection/>
    </xf>
    <xf numFmtId="180" fontId="28" fillId="34" borderId="34" xfId="0" applyNumberFormat="1" applyFont="1" applyFill="1" applyBorder="1" applyAlignment="1" applyProtection="1">
      <alignment horizontal="center" vertical="center"/>
      <protection/>
    </xf>
    <xf numFmtId="180" fontId="31" fillId="34" borderId="33" xfId="0" applyNumberFormat="1" applyFont="1" applyFill="1" applyBorder="1" applyAlignment="1" applyProtection="1">
      <alignment horizontal="center" vertical="center"/>
      <protection/>
    </xf>
    <xf numFmtId="180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80" fontId="28" fillId="0" borderId="36" xfId="0" applyNumberFormat="1" applyFont="1" applyFill="1" applyBorder="1" applyAlignment="1" applyProtection="1">
      <alignment horizontal="center" vertical="center"/>
      <protection/>
    </xf>
    <xf numFmtId="180" fontId="31" fillId="0" borderId="37" xfId="0" applyNumberFormat="1" applyFont="1" applyFill="1" applyBorder="1" applyAlignment="1" applyProtection="1">
      <alignment horizontal="center" vertical="center"/>
      <protection/>
    </xf>
    <xf numFmtId="180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80" fontId="3" fillId="34" borderId="41" xfId="0" applyNumberFormat="1" applyFont="1" applyFill="1" applyBorder="1" applyAlignment="1" applyProtection="1">
      <alignment horizontal="center" vertical="center"/>
      <protection locked="0"/>
    </xf>
    <xf numFmtId="180" fontId="28" fillId="34" borderId="42" xfId="0" applyNumberFormat="1" applyFont="1" applyFill="1" applyBorder="1" applyAlignment="1" applyProtection="1">
      <alignment horizontal="center" vertical="center"/>
      <protection/>
    </xf>
    <xf numFmtId="180" fontId="31" fillId="34" borderId="41" xfId="0" applyNumberFormat="1" applyFont="1" applyFill="1" applyBorder="1" applyAlignment="1" applyProtection="1">
      <alignment horizontal="center" vertical="center"/>
      <protection/>
    </xf>
    <xf numFmtId="180" fontId="31" fillId="34" borderId="43" xfId="0" applyNumberFormat="1" applyFont="1" applyFill="1" applyBorder="1" applyAlignment="1" applyProtection="1">
      <alignment horizontal="center" vertical="center"/>
      <protection/>
    </xf>
    <xf numFmtId="180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4" fillId="35" borderId="45" xfId="0" applyNumberFormat="1" applyFont="1" applyFill="1" applyBorder="1" applyAlignment="1" applyProtection="1">
      <alignment horizontal="center" vertical="center"/>
      <protection/>
    </xf>
    <xf numFmtId="189" fontId="37" fillId="35" borderId="45" xfId="0" applyNumberFormat="1" applyFont="1" applyFill="1" applyBorder="1" applyAlignment="1" applyProtection="1">
      <alignment horizontal="center" vertical="center"/>
      <protection/>
    </xf>
    <xf numFmtId="193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80" fontId="28" fillId="33" borderId="0" xfId="0" applyNumberFormat="1" applyFont="1" applyFill="1" applyAlignment="1" applyProtection="1">
      <alignment horizontal="center" vertical="center"/>
      <protection/>
    </xf>
    <xf numFmtId="193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95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96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84" fontId="34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8" fontId="34" fillId="33" borderId="0" xfId="0" applyNumberFormat="1" applyFont="1" applyFill="1" applyBorder="1" applyAlignment="1" applyProtection="1">
      <alignment horizontal="center" vertical="center"/>
      <protection/>
    </xf>
    <xf numFmtId="186" fontId="34" fillId="33" borderId="59" xfId="0" applyNumberFormat="1" applyFont="1" applyFill="1" applyBorder="1" applyAlignment="1" applyProtection="1">
      <alignment horizontal="center" vertical="center"/>
      <protection/>
    </xf>
    <xf numFmtId="199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8" fontId="34" fillId="35" borderId="59" xfId="0" applyNumberFormat="1" applyFont="1" applyFill="1" applyBorder="1" applyAlignment="1" applyProtection="1">
      <alignment horizontal="center" vertical="center"/>
      <protection/>
    </xf>
    <xf numFmtId="186" fontId="34" fillId="35" borderId="0" xfId="0" applyNumberFormat="1" applyFont="1" applyFill="1" applyBorder="1" applyAlignment="1" applyProtection="1">
      <alignment horizontal="center" vertical="center"/>
      <protection/>
    </xf>
    <xf numFmtId="199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8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80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86" fontId="34" fillId="35" borderId="59" xfId="0" applyNumberFormat="1" applyFont="1" applyFill="1" applyBorder="1" applyAlignment="1" applyProtection="1">
      <alignment horizontal="center" vertical="center"/>
      <protection/>
    </xf>
    <xf numFmtId="199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8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80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201" fontId="40" fillId="33" borderId="67" xfId="0" applyNumberFormat="1" applyFont="1" applyFill="1" applyBorder="1" applyAlignment="1" applyProtection="1">
      <alignment horizontal="center"/>
      <protection/>
    </xf>
    <xf numFmtId="198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202" fontId="37" fillId="35" borderId="57" xfId="0" applyNumberFormat="1" applyFont="1" applyFill="1" applyBorder="1" applyAlignment="1" applyProtection="1">
      <alignment horizontal="left" vertical="center"/>
      <protection/>
    </xf>
    <xf numFmtId="203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80" fontId="3" fillId="0" borderId="72" xfId="0" applyNumberFormat="1" applyFont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87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204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87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204" fontId="3" fillId="0" borderId="78" xfId="0" applyNumberFormat="1" applyFont="1" applyFill="1" applyBorder="1" applyAlignment="1" applyProtection="1">
      <alignment horizontal="center" vertical="center"/>
      <protection locked="0"/>
    </xf>
    <xf numFmtId="180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204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4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204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80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80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80" fontId="28" fillId="39" borderId="86" xfId="0" applyNumberFormat="1" applyFont="1" applyFill="1" applyBorder="1" applyAlignment="1">
      <alignment horizontal="right" vertical="center"/>
    </xf>
    <xf numFmtId="180" fontId="34" fillId="39" borderId="87" xfId="0" applyNumberFormat="1" applyFont="1" applyFill="1" applyBorder="1" applyAlignment="1">
      <alignment horizontal="center" vertical="center"/>
    </xf>
    <xf numFmtId="180" fontId="3" fillId="0" borderId="75" xfId="0" applyNumberFormat="1" applyFont="1" applyBorder="1" applyAlignment="1" applyProtection="1">
      <alignment horizontal="center" vertical="center"/>
      <protection locked="0"/>
    </xf>
    <xf numFmtId="180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87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8" fontId="37" fillId="35" borderId="88" xfId="0" applyNumberFormat="1" applyFont="1" applyFill="1" applyBorder="1" applyAlignment="1" applyProtection="1">
      <alignment horizontal="left" vertical="center"/>
      <protection/>
    </xf>
    <xf numFmtId="198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84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80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80" fontId="18" fillId="35" borderId="89" xfId="0" applyNumberFormat="1" applyFont="1" applyFill="1" applyBorder="1" applyAlignment="1" applyProtection="1">
      <alignment horizontal="center" vertical="center"/>
      <protection locked="0"/>
    </xf>
    <xf numFmtId="205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80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8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8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207" fontId="62" fillId="33" borderId="0" xfId="0" applyNumberFormat="1" applyFont="1" applyFill="1" applyAlignment="1">
      <alignment/>
    </xf>
    <xf numFmtId="180" fontId="63" fillId="0" borderId="0" xfId="0" applyNumberFormat="1" applyFont="1" applyAlignment="1">
      <alignment/>
    </xf>
    <xf numFmtId="209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9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10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82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82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7" fillId="35" borderId="93" xfId="0" applyNumberFormat="1" applyFont="1" applyFill="1" applyBorder="1" applyAlignment="1" applyProtection="1">
      <alignment horizontal="right" vertical="center"/>
      <protection/>
    </xf>
    <xf numFmtId="182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9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8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11" fontId="3" fillId="35" borderId="12" xfId="0" applyNumberFormat="1" applyFont="1" applyFill="1" applyBorder="1" applyAlignment="1" applyProtection="1">
      <alignment horizontal="center" vertical="center"/>
      <protection locked="0"/>
    </xf>
    <xf numFmtId="209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9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204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9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204" fontId="37" fillId="35" borderId="96" xfId="0" applyNumberFormat="1" applyFont="1" applyFill="1" applyBorder="1" applyAlignment="1" applyProtection="1">
      <alignment horizontal="right" vertical="center"/>
      <protection/>
    </xf>
    <xf numFmtId="198" fontId="34" fillId="35" borderId="99" xfId="0" applyNumberFormat="1" applyFont="1" applyFill="1" applyBorder="1" applyAlignment="1" applyProtection="1">
      <alignment horizontal="center" vertical="center"/>
      <protection/>
    </xf>
    <xf numFmtId="182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204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204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3" fillId="42" borderId="0" xfId="0" applyNumberFormat="1" applyFont="1" applyFill="1" applyBorder="1" applyAlignment="1" applyProtection="1">
      <alignment horizontal="center" vertical="center"/>
      <protection/>
    </xf>
    <xf numFmtId="204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82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83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83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13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204" fontId="25" fillId="33" borderId="0" xfId="0" applyNumberFormat="1" applyFont="1" applyFill="1" applyBorder="1" applyAlignment="1" applyProtection="1">
      <alignment horizontal="right"/>
      <protection/>
    </xf>
    <xf numFmtId="187" fontId="25" fillId="33" borderId="0" xfId="0" applyNumberFormat="1" applyFont="1" applyFill="1" applyBorder="1" applyAlignment="1" applyProtection="1">
      <alignment horizontal="right"/>
      <protection/>
    </xf>
    <xf numFmtId="180" fontId="14" fillId="33" borderId="39" xfId="0" applyNumberFormat="1" applyFont="1" applyFill="1" applyBorder="1" applyAlignment="1" applyProtection="1">
      <alignment horizontal="center"/>
      <protection/>
    </xf>
    <xf numFmtId="180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80" fontId="15" fillId="33" borderId="39" xfId="0" applyNumberFormat="1" applyFont="1" applyFill="1" applyBorder="1" applyAlignment="1" applyProtection="1">
      <alignment horizontal="left"/>
      <protection/>
    </xf>
    <xf numFmtId="213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80" fontId="14" fillId="33" borderId="0" xfId="0" applyNumberFormat="1" applyFont="1" applyFill="1" applyBorder="1" applyAlignment="1" applyProtection="1">
      <alignment/>
      <protection/>
    </xf>
    <xf numFmtId="187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14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15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83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8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83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9" fontId="25" fillId="33" borderId="0" xfId="0" applyNumberFormat="1" applyFont="1" applyFill="1" applyBorder="1" applyAlignment="1" applyProtection="1">
      <alignment horizontal="left"/>
      <protection/>
    </xf>
    <xf numFmtId="193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82" fontId="24" fillId="33" borderId="39" xfId="0" applyNumberFormat="1" applyFont="1" applyFill="1" applyBorder="1" applyAlignment="1" applyProtection="1">
      <alignment horizontal="left"/>
      <protection/>
    </xf>
    <xf numFmtId="204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91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204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80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80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80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80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80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80" fontId="28" fillId="0" borderId="19" xfId="0" applyNumberFormat="1" applyFont="1" applyFill="1" applyBorder="1" applyAlignment="1" applyProtection="1">
      <alignment horizontal="center" vertical="center"/>
      <protection/>
    </xf>
    <xf numFmtId="185" fontId="7" fillId="34" borderId="21" xfId="0" applyNumberFormat="1" applyFont="1" applyFill="1" applyBorder="1" applyAlignment="1" applyProtection="1">
      <alignment horizontal="center" vertical="center"/>
      <protection locked="0"/>
    </xf>
    <xf numFmtId="185" fontId="7" fillId="0" borderId="21" xfId="0" applyNumberFormat="1" applyFont="1" applyFill="1" applyBorder="1" applyAlignment="1" applyProtection="1">
      <alignment horizontal="center" vertical="center"/>
      <protection locked="0"/>
    </xf>
    <xf numFmtId="185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85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85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87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16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91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80" fontId="43" fillId="35" borderId="108" xfId="0" applyNumberFormat="1" applyFont="1" applyFill="1" applyBorder="1" applyAlignment="1" applyProtection="1">
      <alignment horizontal="center" vertical="center"/>
      <protection/>
    </xf>
    <xf numFmtId="184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87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82" fontId="6" fillId="33" borderId="113" xfId="0" applyNumberFormat="1" applyFont="1" applyFill="1" applyBorder="1" applyAlignment="1" applyProtection="1">
      <alignment/>
      <protection/>
    </xf>
    <xf numFmtId="188" fontId="28" fillId="35" borderId="116" xfId="0" applyNumberFormat="1" applyFont="1" applyFill="1" applyBorder="1" applyAlignment="1" applyProtection="1">
      <alignment horizontal="center" vertical="center"/>
      <protection/>
    </xf>
    <xf numFmtId="190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8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91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82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94" fontId="6" fillId="33" borderId="126" xfId="0" applyNumberFormat="1" applyFont="1" applyFill="1" applyBorder="1" applyAlignment="1">
      <alignment horizontal="right"/>
    </xf>
    <xf numFmtId="194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91" fontId="37" fillId="35" borderId="127" xfId="0" applyNumberFormat="1" applyFont="1" applyFill="1" applyBorder="1" applyAlignment="1" applyProtection="1">
      <alignment horizontal="center" vertical="center"/>
      <protection/>
    </xf>
    <xf numFmtId="182" fontId="40" fillId="35" borderId="128" xfId="0" applyNumberFormat="1" applyFont="1" applyFill="1" applyBorder="1" applyAlignment="1" applyProtection="1">
      <alignment horizontal="right" vertical="center"/>
      <protection/>
    </xf>
    <xf numFmtId="200" fontId="40" fillId="35" borderId="129" xfId="0" applyNumberFormat="1" applyFont="1" applyFill="1" applyBorder="1" applyAlignment="1" applyProtection="1">
      <alignment horizontal="left" vertical="center"/>
      <protection/>
    </xf>
    <xf numFmtId="180" fontId="37" fillId="35" borderId="130" xfId="0" applyNumberFormat="1" applyFont="1" applyFill="1" applyBorder="1" applyAlignment="1" applyProtection="1">
      <alignment horizontal="center" vertical="center"/>
      <protection/>
    </xf>
    <xf numFmtId="191" fontId="18" fillId="35" borderId="89" xfId="0" applyNumberFormat="1" applyFont="1" applyFill="1" applyBorder="1" applyAlignment="1" applyProtection="1">
      <alignment horizontal="center" vertical="center"/>
      <protection locked="0"/>
    </xf>
    <xf numFmtId="199" fontId="20" fillId="0" borderId="61" xfId="0" applyNumberFormat="1" applyFont="1" applyFill="1" applyBorder="1" applyAlignment="1" applyProtection="1">
      <alignment horizontal="left" vertical="center"/>
      <protection locked="0"/>
    </xf>
    <xf numFmtId="197" fontId="34" fillId="35" borderId="56" xfId="0" applyNumberFormat="1" applyFont="1" applyFill="1" applyBorder="1" applyAlignment="1" applyProtection="1">
      <alignment horizontal="center" vertical="center"/>
      <protection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81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0" borderId="131" xfId="0" applyFont="1" applyBorder="1" applyAlignment="1" applyProtection="1">
      <alignment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>
      <alignment horizontal="left"/>
    </xf>
    <xf numFmtId="0" fontId="14" fillId="0" borderId="132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" fillId="39" borderId="131" xfId="0" applyFont="1" applyFill="1" applyBorder="1" applyAlignment="1" applyProtection="1">
      <alignment horizontal="left" vertical="center"/>
      <protection locked="0"/>
    </xf>
    <xf numFmtId="189" fontId="6" fillId="33" borderId="0" xfId="0" applyNumberFormat="1" applyFont="1" applyFill="1" applyBorder="1" applyAlignment="1" applyProtection="1">
      <alignment vertical="center"/>
      <protection/>
    </xf>
    <xf numFmtId="189" fontId="34" fillId="35" borderId="92" xfId="0" applyNumberFormat="1" applyFont="1" applyFill="1" applyBorder="1" applyAlignment="1" applyProtection="1">
      <alignment horizontal="right" vertical="center"/>
      <protection/>
    </xf>
    <xf numFmtId="206" fontId="34" fillId="35" borderId="92" xfId="0" applyNumberFormat="1" applyFont="1" applyFill="1" applyBorder="1" applyAlignment="1" applyProtection="1">
      <alignment horizontal="center" vertical="center"/>
      <protection/>
    </xf>
    <xf numFmtId="181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0" fontId="14" fillId="33" borderId="39" xfId="0" applyFont="1" applyFill="1" applyBorder="1" applyAlignment="1" applyProtection="1">
      <alignment/>
      <protection/>
    </xf>
    <xf numFmtId="208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12" fontId="13" fillId="35" borderId="100" xfId="0" applyNumberFormat="1" applyFont="1" applyFill="1" applyBorder="1" applyAlignment="1" applyProtection="1">
      <alignment horizontal="center" vertical="center"/>
      <protection/>
    </xf>
    <xf numFmtId="221" fontId="37" fillId="35" borderId="133" xfId="0" applyNumberFormat="1" applyFont="1" applyFill="1" applyBorder="1" applyAlignment="1" applyProtection="1">
      <alignment horizontal="right" vertical="center"/>
      <protection/>
    </xf>
    <xf numFmtId="221" fontId="0" fillId="0" borderId="134" xfId="0" applyNumberFormat="1" applyBorder="1" applyAlignment="1">
      <alignment horizontal="right"/>
    </xf>
    <xf numFmtId="223" fontId="37" fillId="35" borderId="134" xfId="0" applyNumberFormat="1" applyFont="1" applyFill="1" applyBorder="1" applyAlignment="1" applyProtection="1">
      <alignment horizontal="left" vertical="center"/>
      <protection/>
    </xf>
    <xf numFmtId="223" fontId="0" fillId="0" borderId="135" xfId="0" applyNumberFormat="1" applyBorder="1" applyAlignment="1">
      <alignment horizontal="left"/>
    </xf>
    <xf numFmtId="224" fontId="25" fillId="33" borderId="0" xfId="0" applyNumberFormat="1" applyFont="1" applyFill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15" zoomScaleNormal="115" zoomScalePageLayoutView="0" workbookViewId="0" topLeftCell="A35">
      <selection activeCell="C60" sqref="C60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29" max="31" width="8.8515625" style="0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13" t="s">
        <v>705</v>
      </c>
      <c r="B1" s="513"/>
      <c r="C1" s="3" t="s">
        <v>0</v>
      </c>
      <c r="E1" s="4" t="s">
        <v>1</v>
      </c>
      <c r="F1" s="514" t="s">
        <v>703</v>
      </c>
      <c r="G1" s="514"/>
      <c r="H1" s="5">
        <f>IF(Beslag="DUN",0,IF(Beslag="MEDIUM",0.4,0.8))</f>
        <v>0</v>
      </c>
      <c r="I1" s="2"/>
      <c r="J1" s="6"/>
      <c r="K1" s="7" t="s">
        <v>2</v>
      </c>
      <c r="L1" s="515"/>
      <c r="M1" s="515"/>
      <c r="N1" s="2"/>
      <c r="O1" s="2"/>
      <c r="P1" s="8" t="s">
        <v>3</v>
      </c>
      <c r="Q1" s="9" t="str">
        <f>HoofdGist</f>
        <v>Fermentis S-04 korrel</v>
      </c>
      <c r="R1" s="10"/>
      <c r="S1" s="11" t="s">
        <v>4</v>
      </c>
      <c r="T1" s="12"/>
      <c r="V1" s="13" t="s">
        <v>5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13" t="s">
        <v>707</v>
      </c>
      <c r="B2" s="513"/>
      <c r="C2" s="3" t="s">
        <v>6</v>
      </c>
      <c r="D2" s="15"/>
      <c r="F2" s="16" t="s">
        <v>7</v>
      </c>
      <c r="G2" s="17">
        <v>0.83</v>
      </c>
      <c r="I2" s="2"/>
      <c r="J2" s="6"/>
      <c r="K2" s="7" t="s">
        <v>8</v>
      </c>
      <c r="L2" s="515">
        <v>41644</v>
      </c>
      <c r="M2" s="515"/>
      <c r="N2" s="2"/>
      <c r="O2" s="2"/>
      <c r="P2" s="510" t="str">
        <f>G3</f>
        <v>Neutraal, gemiddeld, zeer goede sedimentatie.</v>
      </c>
      <c r="Q2" s="510"/>
      <c r="S2" s="14" t="s">
        <v>9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10</v>
      </c>
      <c r="B3" s="18">
        <v>8</v>
      </c>
      <c r="C3" s="19" t="s">
        <v>11</v>
      </c>
      <c r="D3" s="511" t="s">
        <v>312</v>
      </c>
      <c r="E3" s="511"/>
      <c r="F3" s="511"/>
      <c r="G3" s="512" t="str">
        <f>VLOOKUP(HoofdGist,'Info-Tabellen'!$V:$Z,5,0)</f>
        <v>Neutraal, gemiddeld, zeer goede sedimentatie.</v>
      </c>
      <c r="H3" s="512"/>
      <c r="I3" s="512"/>
      <c r="J3" s="512"/>
      <c r="K3" s="512"/>
      <c r="L3" s="512"/>
      <c r="M3" s="20" t="s">
        <v>13</v>
      </c>
      <c r="N3" s="2"/>
      <c r="O3" s="2"/>
      <c r="Q3" s="2"/>
      <c r="R3" s="2"/>
      <c r="S3" s="14" t="s">
        <v>14</v>
      </c>
      <c r="T3" s="21" t="s">
        <v>15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16</v>
      </c>
      <c r="C4" s="23">
        <v>8</v>
      </c>
      <c r="D4" s="24" t="s">
        <v>17</v>
      </c>
      <c r="E4" s="25"/>
      <c r="F4" s="25"/>
      <c r="G4" s="26"/>
      <c r="H4" s="27">
        <v>100</v>
      </c>
      <c r="K4" s="28" t="s">
        <v>18</v>
      </c>
      <c r="L4" s="464">
        <v>1</v>
      </c>
      <c r="M4" s="465" t="s">
        <v>706</v>
      </c>
      <c r="N4" s="2"/>
      <c r="O4" s="2"/>
      <c r="P4" s="8" t="s">
        <v>19</v>
      </c>
      <c r="Q4" s="9">
        <f>L50</f>
        <v>0</v>
      </c>
      <c r="R4" s="2"/>
      <c r="S4" s="14" t="s">
        <v>20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21</v>
      </c>
      <c r="B5" s="31" t="s">
        <v>22</v>
      </c>
      <c r="C5" s="31" t="s">
        <v>23</v>
      </c>
      <c r="D5" s="32" t="s">
        <v>24</v>
      </c>
      <c r="E5" s="33" t="s">
        <v>25</v>
      </c>
      <c r="F5" s="31" t="s">
        <v>26</v>
      </c>
      <c r="G5" s="31" t="s">
        <v>27</v>
      </c>
      <c r="H5" s="34" t="s">
        <v>28</v>
      </c>
      <c r="I5" s="2"/>
      <c r="J5" s="466" t="s">
        <v>29</v>
      </c>
      <c r="K5" s="467"/>
      <c r="L5" s="467"/>
      <c r="M5" s="468"/>
      <c r="N5" s="2"/>
      <c r="O5" s="2"/>
      <c r="P5" s="510" t="e">
        <f>VLOOKUP(bottelgist,'Info-Tabellen'!$V:$Z,5,0)</f>
        <v>#N/A</v>
      </c>
      <c r="Q5" s="510"/>
      <c r="R5" s="2"/>
      <c r="S5" s="36" t="s">
        <v>30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262</v>
      </c>
      <c r="B6" s="38">
        <f>VLOOKUP(A6,'Info-Tabellen'!$H:$J,2,0)</f>
        <v>80.07</v>
      </c>
      <c r="C6" s="38">
        <f>VLOOKUP(A6,'Info-Tabellen'!$H:$J,3,0)</f>
        <v>8</v>
      </c>
      <c r="D6" s="39">
        <f>1+0.246</f>
        <v>1.246</v>
      </c>
      <c r="E6" s="40">
        <f>IF(Gewenste_liters=0,"0",IF(D6=0,"  ",(0.96*B6*D6/(Gewenste_liters+hopverlies))*effic))</f>
        <v>8.64117842230556</v>
      </c>
      <c r="F6" s="41">
        <f>IF(Gewenste_liters=0,"0",IF(D6=0," ",IF(C6&gt;200,C6*E6/8.6*1.05,IF(C6&lt;60,C6*E6/8.6*1.26,C6*E6/8.6*1.15))))</f>
        <v>10.128264941493027</v>
      </c>
      <c r="G6" s="42">
        <f aca="true" t="shared" si="0" ref="G6:G14">IF(D6="","  ",(D6*100/Totaalkg))</f>
        <v>36.379562043795616</v>
      </c>
      <c r="H6" s="43">
        <f aca="true" t="shared" si="1" ref="H6:H14">IF(E6="  ","  ",(E6*100/totplato))</f>
        <v>38.151072527152614</v>
      </c>
      <c r="I6" s="2"/>
      <c r="J6" s="469" t="s">
        <v>32</v>
      </c>
      <c r="K6" s="44"/>
      <c r="L6" s="26"/>
      <c r="M6" s="470"/>
      <c r="N6" s="2"/>
      <c r="O6" s="2"/>
      <c r="P6" s="2"/>
      <c r="Q6" s="2"/>
      <c r="R6" s="2"/>
      <c r="S6" s="45"/>
      <c r="T6" s="46" t="s">
        <v>33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273</v>
      </c>
      <c r="B7" s="48">
        <f>VLOOKUP(A7,'Info-Tabellen'!$H:$J,2,0)</f>
        <v>80.07</v>
      </c>
      <c r="C7" s="48">
        <f>VLOOKUP(A7,'Info-Tabellen'!$H:$J,3,0)</f>
        <v>15</v>
      </c>
      <c r="D7" s="60">
        <f>1-0.246</f>
        <v>0.754</v>
      </c>
      <c r="E7" s="50">
        <f aca="true" t="shared" si="2" ref="E7:E14">IF(Gewenste_liters=0,"0",IF(D7=0,"  ",(0.96*B7*D7/(Gewenste_liters+hopverlies))*effic))</f>
        <v>5.229091918473829</v>
      </c>
      <c r="F7" s="51">
        <f aca="true" t="shared" si="3" ref="F7:F14">IF(Gewenste_liters=0,"0",IF(D7=0," ",IF(C7&gt;200,C7*E7/8.6*1.05,IF(C7&lt;60,C7*E7/8.6*1.26,C7*E7/8.6*1.15))))</f>
        <v>11.491841541762254</v>
      </c>
      <c r="G7" s="52">
        <f t="shared" si="0"/>
        <v>22.014598540145986</v>
      </c>
      <c r="H7" s="53">
        <f t="shared" si="1"/>
        <v>23.086604081439056</v>
      </c>
      <c r="I7" s="2"/>
      <c r="J7" s="471" t="s">
        <v>34</v>
      </c>
      <c r="K7" s="29" t="s">
        <v>691</v>
      </c>
      <c r="L7" s="54">
        <f>IF(moutkilos=0,"",IF(Aardbier=1,moutkilos*1.6*($B$28-mouttemp)/(mashwater*4.18),moutkilos*1.6*($B$27-mouttemp)/(mashwater*4.18)))</f>
        <v>7.229805797917255</v>
      </c>
      <c r="M7" s="472">
        <f>SUM($D$6:$D$16)</f>
        <v>3.0250000000000004</v>
      </c>
      <c r="N7" s="2"/>
      <c r="O7" s="2"/>
      <c r="P7" s="55" t="s">
        <v>36</v>
      </c>
      <c r="Q7" s="56"/>
      <c r="R7" s="2"/>
      <c r="S7" s="14" t="s">
        <v>37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295</v>
      </c>
      <c r="B8" s="38">
        <f>VLOOKUP(A8,'Info-Tabellen'!$H:$J,2,0)</f>
        <v>80.07</v>
      </c>
      <c r="C8" s="38">
        <f>VLOOKUP(A8,'Info-Tabellen'!$H:$J,3,0)</f>
        <v>49.057338814674104</v>
      </c>
      <c r="D8" s="57">
        <v>0.2</v>
      </c>
      <c r="E8" s="40">
        <f t="shared" si="2"/>
        <v>1.387027034077939</v>
      </c>
      <c r="F8" s="41">
        <f t="shared" si="3"/>
        <v>9.969215987953628</v>
      </c>
      <c r="G8" s="42">
        <f t="shared" si="0"/>
        <v>5.839416058394161</v>
      </c>
      <c r="H8" s="43">
        <f t="shared" si="1"/>
        <v>6.123767660859167</v>
      </c>
      <c r="I8" s="2"/>
      <c r="J8" s="469"/>
      <c r="K8" s="44"/>
      <c r="L8" s="58" t="s">
        <v>38</v>
      </c>
      <c r="M8" s="473">
        <v>70</v>
      </c>
      <c r="N8" s="2"/>
      <c r="O8" s="2"/>
      <c r="P8" s="59" t="str">
        <f>hop1</f>
        <v>Northern Brewer (B)</v>
      </c>
      <c r="Q8" s="56"/>
      <c r="R8" s="2"/>
      <c r="S8" s="14" t="s">
        <v>39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578</v>
      </c>
      <c r="B9" s="48">
        <f>VLOOKUP(A9,'Info-Tabellen'!$H:$J,2,0)</f>
        <v>80.07</v>
      </c>
      <c r="C9" s="48">
        <f>VLOOKUP(A9,'Info-Tabellen'!$H:$J,3,0)</f>
        <v>70</v>
      </c>
      <c r="D9" s="60">
        <v>0.2</v>
      </c>
      <c r="E9" s="50">
        <f t="shared" si="2"/>
        <v>1.387027034077939</v>
      </c>
      <c r="F9" s="61">
        <f t="shared" si="3"/>
        <v>12.983218167822567</v>
      </c>
      <c r="G9" s="62">
        <f t="shared" si="0"/>
        <v>5.839416058394161</v>
      </c>
      <c r="H9" s="53">
        <f t="shared" si="1"/>
        <v>6.123767660859167</v>
      </c>
      <c r="I9" s="2"/>
      <c r="J9" s="474"/>
      <c r="K9" s="63" t="str">
        <f>IF($K$7="J","de kooktijd blijft","Advieskooktijd:")</f>
        <v>de kooktijd blijft</v>
      </c>
      <c r="L9" s="64">
        <f>IF($K$7="N",voorkeurkooktyd,$M$8)</f>
        <v>70</v>
      </c>
      <c r="M9" s="475"/>
      <c r="N9" s="2"/>
      <c r="O9" s="2"/>
      <c r="P9" s="519" t="str">
        <f>VLOOKUP(hop1,'Info-Tabellen'!$P:$T,3,0)</f>
        <v>Universele hop, gebruikt als bitterhop. Wordt in donkere bieren gebruikt, De hopbellen zijn van nature wat bruiner.</v>
      </c>
      <c r="Q9" s="519"/>
      <c r="R9" s="2"/>
      <c r="S9" s="14" t="s">
        <v>40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360</v>
      </c>
      <c r="B10" s="38">
        <f>VLOOKUP(A10,'Info-Tabellen'!$H:$J,2,0)</f>
        <v>65</v>
      </c>
      <c r="C10" s="38">
        <f>VLOOKUP(A10,'Info-Tabellen'!$H:$J,3,0)</f>
        <v>390</v>
      </c>
      <c r="D10" s="57">
        <v>0.2</v>
      </c>
      <c r="E10" s="40">
        <f t="shared" si="2"/>
        <v>1.1259742377303115</v>
      </c>
      <c r="F10" s="41">
        <f t="shared" si="3"/>
        <v>53.614703529135184</v>
      </c>
      <c r="G10" s="42">
        <f t="shared" si="0"/>
        <v>5.839416058394161</v>
      </c>
      <c r="H10" s="43">
        <f t="shared" si="1"/>
        <v>4.971211414460421</v>
      </c>
      <c r="I10" s="2"/>
      <c r="J10" s="476">
        <f>IF(mashplato&lt;16,70,(mashplato-16)*5+70.1)</f>
        <v>91.82711690852761</v>
      </c>
      <c r="K10" s="65">
        <f>SUM($F$6:$F$16)</f>
        <v>140.76493269269466</v>
      </c>
      <c r="L10" s="66">
        <f>IF(Aardbier="D",0+Diktefactor,IF(Aardbier="M",1+Diktefactor,IF(Aardbier=1,1+Diktefactor,2+Diktefactor)))</f>
        <v>2</v>
      </c>
      <c r="M10" s="475">
        <f>VLOOKUP(HoofdGist,'Info-Tabellen'!$V:$Z,2,0)</f>
        <v>68</v>
      </c>
      <c r="N10" s="2"/>
      <c r="O10" s="2"/>
      <c r="P10" s="519"/>
      <c r="Q10" s="519"/>
      <c r="R10" s="2"/>
      <c r="S10" s="14" t="s">
        <v>41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307</v>
      </c>
      <c r="B11" s="48">
        <f>VLOOKUP(A11,'Info-Tabellen'!$H:$J,2,0)</f>
        <v>70</v>
      </c>
      <c r="C11" s="48">
        <f>VLOOKUP(A11,'Info-Tabellen'!$H:$J,3,0)</f>
        <v>58</v>
      </c>
      <c r="D11" s="60">
        <f>1/20*Gewenste_liters</f>
        <v>0.4</v>
      </c>
      <c r="E11" s="50">
        <f t="shared" si="2"/>
        <v>2.425175281265286</v>
      </c>
      <c r="F11" s="61">
        <f t="shared" si="3"/>
        <v>20.60834994824036</v>
      </c>
      <c r="G11" s="62">
        <f t="shared" si="0"/>
        <v>11.678832116788321</v>
      </c>
      <c r="H11" s="53">
        <f t="shared" si="1"/>
        <v>10.707224584991673</v>
      </c>
      <c r="I11" s="2"/>
      <c r="J11" s="477"/>
      <c r="K11" s="67" t="s">
        <v>42</v>
      </c>
      <c r="L11" s="68"/>
      <c r="M11" s="478">
        <f>IF(mashplato=0,0,mashplato/(mashplato+Suikerplato))</f>
        <v>0.898256794498609</v>
      </c>
      <c r="N11" s="2"/>
      <c r="O11" s="2"/>
      <c r="P11" s="69"/>
      <c r="Q11" s="56"/>
      <c r="R11" s="2"/>
      <c r="S11" s="70" t="s">
        <v>43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601</v>
      </c>
      <c r="B12" s="38">
        <f>VLOOKUP(A12,'Info-Tabellen'!$H:$J,2,0)</f>
        <v>69.25</v>
      </c>
      <c r="C12" s="38">
        <f>VLOOKUP(A12,'Info-Tabellen'!$H:$J,3,0)</f>
        <v>1200</v>
      </c>
      <c r="D12" s="57">
        <v>0.025</v>
      </c>
      <c r="E12" s="40">
        <f t="shared" si="2"/>
        <v>0.14994945377466168</v>
      </c>
      <c r="F12" s="41">
        <f t="shared" si="3"/>
        <v>21.969338576287644</v>
      </c>
      <c r="G12" s="42">
        <f t="shared" si="0"/>
        <v>0.7299270072992701</v>
      </c>
      <c r="H12" s="43">
        <f t="shared" si="1"/>
        <v>0.6620315200988157</v>
      </c>
      <c r="I12" s="2"/>
      <c r="J12" s="479">
        <f>(1+($L$12/(258.6-0.87955*$L$12)))*1000</f>
        <v>1084.5242430577339</v>
      </c>
      <c r="K12" s="68"/>
      <c r="L12" s="71">
        <f>SUM($E$6:$E$16)+Maltodexplato</f>
        <v>20.345423381705523</v>
      </c>
      <c r="M12" s="480">
        <f>IF(ISNUMBER($L$12),$L$12*1.035,"")</f>
        <v>21.057513200065213</v>
      </c>
      <c r="N12" s="2"/>
      <c r="O12" s="2"/>
      <c r="P12" s="59" t="str">
        <f>hop2</f>
        <v>Fuggles (A)</v>
      </c>
      <c r="Q12" s="56"/>
      <c r="R12" s="2"/>
      <c r="S12" s="14" t="s">
        <v>44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31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2"/>
        <v>  </v>
      </c>
      <c r="F13" s="61" t="str">
        <f t="shared" si="3"/>
        <v> </v>
      </c>
      <c r="G13" s="62" t="str">
        <f t="shared" si="0"/>
        <v>  </v>
      </c>
      <c r="H13" s="53" t="str">
        <f t="shared" si="1"/>
        <v>  </v>
      </c>
      <c r="I13" s="2"/>
      <c r="J13" s="477"/>
      <c r="K13" s="67" t="s">
        <v>45</v>
      </c>
      <c r="L13" s="68"/>
      <c r="M13" s="478">
        <f>IF(Suikerplato=0,0,Suikerplato/(mashplato+Suikerplato))</f>
        <v>0.10174320550139107</v>
      </c>
      <c r="N13" s="2"/>
      <c r="O13" s="2"/>
      <c r="P13" s="519" t="str">
        <f>VLOOKUP(hop2,'Info-Tabellen'!$P:$T,3,0)</f>
        <v>Mild en aangenaam, gronderig, fruitig. Typisch Engelse hopsmaak. Geeft bier een rond en vol karakter.</v>
      </c>
      <c r="Q13" s="519"/>
      <c r="R13" s="2"/>
      <c r="S13" s="72" t="s">
        <v>46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31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79">
        <f>(1+($L$14/(258.6-0.87955*$L$14)))*1000</f>
        <v>1008.9817407311741</v>
      </c>
      <c r="K14" s="68"/>
      <c r="L14" s="71">
        <f>SUM($E$17:$E$20)</f>
        <v>2.304473069188543</v>
      </c>
      <c r="M14" s="480">
        <f>IF(ISNUMBER($L$14),$L$14,"")</f>
        <v>2.304473069188543</v>
      </c>
      <c r="N14" s="2"/>
      <c r="O14" s="2"/>
      <c r="P14" s="519"/>
      <c r="Q14" s="519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31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1"/>
      <c r="K15" s="67" t="s">
        <v>47</v>
      </c>
      <c r="L15" s="68"/>
      <c r="M15" s="482">
        <f>IF($D$21="",0,$E$21)</f>
        <v>0</v>
      </c>
      <c r="N15" s="2"/>
      <c r="O15" s="2"/>
      <c r="P15" s="56"/>
      <c r="Q15" s="56"/>
      <c r="R15" s="2"/>
      <c r="S15" s="14" t="s">
        <v>48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31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3">
        <f>(1+(totplato/(258.6-0.87955*totplato)))*1000</f>
        <v>1094.8971817271486</v>
      </c>
      <c r="K16" s="68"/>
      <c r="L16" s="74">
        <f>IF(ISNUMBER(totplato),totplato,"")</f>
        <v>22.649896450894065</v>
      </c>
      <c r="M16" s="480">
        <f>IF(ISNUMBER($L$16),$M$12+$M$14,"")</f>
        <v>23.361986269253755</v>
      </c>
      <c r="N16" s="2"/>
      <c r="O16" s="2"/>
      <c r="P16" s="59" t="str">
        <f>hop3</f>
        <v>Saaz CZ  (A)</v>
      </c>
      <c r="Q16" s="56"/>
      <c r="R16" s="2"/>
      <c r="S16" s="14" t="s">
        <v>49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318</v>
      </c>
      <c r="B17" s="77">
        <f>VLOOKUP(A17,'Info-Tabellen'!$L:$N,2,0)</f>
        <v>53</v>
      </c>
      <c r="C17" s="77">
        <f>VLOOKUP(A17,'Info-Tabellen'!$L:$N,3,0)</f>
        <v>30</v>
      </c>
      <c r="D17" s="78">
        <v>0.4</v>
      </c>
      <c r="E17" s="79">
        <f>IF(Gewenste_liters=0,"0",IF(D17=0,"  ",(B17*D17/(Gewenste_liters+hopverlies))))</f>
        <v>2.304473069188543</v>
      </c>
      <c r="F17" s="80">
        <f>IF(Gewenste_liters=0,"0",IF(D17=0,"  ",B17*D17/Gewenste_liters*C17*0.95))</f>
        <v>75.525</v>
      </c>
      <c r="G17" s="81">
        <f t="shared" si="4"/>
        <v>11.678832116788321</v>
      </c>
      <c r="H17" s="82">
        <f t="shared" si="5"/>
        <v>10.174320550139107</v>
      </c>
      <c r="I17" s="119"/>
      <c r="J17" s="484" t="s">
        <v>51</v>
      </c>
      <c r="K17" s="67"/>
      <c r="L17" s="83"/>
      <c r="M17" s="485">
        <f>IF($M$14=0,1.035,$M$16/$L$16)</f>
        <v>1.0314389878074512</v>
      </c>
      <c r="N17" s="2"/>
      <c r="O17" s="2"/>
      <c r="P17" s="519" t="str">
        <f>VLOOKUP(hop3,'Info-Tabellen'!$P:$T,3,0)</f>
        <v>Koning van de pilshop. De enige hop die gebruikt wordt in het oorspronkelijke pils ter wereld: Pilsner Urquell. </v>
      </c>
      <c r="Q17" s="519"/>
      <c r="R17" s="2"/>
      <c r="S17" s="14" t="s">
        <v>52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50</v>
      </c>
      <c r="B18" s="85">
        <f>VLOOKUP(A18,'Info-Tabellen'!$L:$N,2,0)</f>
        <v>0</v>
      </c>
      <c r="C18" s="85">
        <f>VLOOKUP(A18,'Info-Tabellen'!$L:$N,3,0)</f>
        <v>0</v>
      </c>
      <c r="D18" s="444"/>
      <c r="E18" s="447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6">
        <f>totplato/2.7*Gewenste_liters/100</f>
        <v>0.6711080429894537</v>
      </c>
      <c r="K18" s="68"/>
      <c r="L18" s="89" t="s">
        <v>53</v>
      </c>
      <c r="M18" s="487" t="s">
        <v>691</v>
      </c>
      <c r="N18" s="2"/>
      <c r="O18" s="2"/>
      <c r="P18" s="519"/>
      <c r="Q18" s="519"/>
      <c r="R18" s="2"/>
      <c r="S18" s="91" t="s">
        <v>692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50</v>
      </c>
      <c r="B19" s="93">
        <f>VLOOKUP(A19,'Info-Tabellen'!$L:$N,2,0)</f>
        <v>0</v>
      </c>
      <c r="C19" s="93">
        <f>VLOOKUP(A19,'Info-Tabellen'!$L:$N,3,0)</f>
        <v>0</v>
      </c>
      <c r="D19" s="445"/>
      <c r="E19" s="448" t="str">
        <f>IF(Gewenste_liters=0,"0",IF(D19=0,"  ",(B19*D19/(Gewenste_liters+hopverlies))))</f>
        <v>  </v>
      </c>
      <c r="F19" s="443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8" t="str">
        <f>IF(M18="J","Dan blijft de stamwort:","Dan is de verdunde stamwort:")</f>
        <v>Dan blijft de stamwort:</v>
      </c>
      <c r="K19" s="489"/>
      <c r="L19" s="26"/>
      <c r="M19" s="490">
        <f>IF(moutkleur+2&lt;35,SVGopmout-ATNfactor,SVGopmout-ATNfactor-(moutkleur/80))</f>
        <v>64.24043834134132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50</v>
      </c>
      <c r="B20" s="96">
        <f>VLOOKUP(A20,'Info-Tabellen'!$L:$N,2,0)</f>
        <v>0</v>
      </c>
      <c r="C20" s="96">
        <f>VLOOKUP(A20,'Info-Tabellen'!$L:$N,3,0)</f>
        <v>0</v>
      </c>
      <c r="D20" s="446"/>
      <c r="E20" s="449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3">
        <f>(1+(CORstamplato/(258.6-0.87955*CORstamplato)))*1000</f>
        <v>1094.8971817271486</v>
      </c>
      <c r="K20" s="26"/>
      <c r="L20" s="74">
        <f>IF($M$18="N",(((Starter*2.56*1.05)+(totplato*StamwortSG*Gewenste_liters))/(Gewenste_liters+Starter)/StamwortSG),$L$16)</f>
        <v>22.649896450894065</v>
      </c>
      <c r="M20" s="480">
        <f>CORstamplato*Brixratio</f>
        <v>23.36198626925376</v>
      </c>
      <c r="N20" s="2"/>
      <c r="O20" s="2"/>
      <c r="P20" s="59" t="str">
        <f>hop4</f>
        <v> - - Kies hop - -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54</v>
      </c>
      <c r="B21" s="93">
        <v>100</v>
      </c>
      <c r="C21" s="93">
        <v>2.5</v>
      </c>
      <c r="D21" s="450"/>
      <c r="E21" s="451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1" t="s">
        <v>55</v>
      </c>
      <c r="K21" s="106"/>
      <c r="L21" s="106"/>
      <c r="M21" s="492"/>
      <c r="N21" s="2"/>
      <c r="O21" s="2"/>
      <c r="P21" s="519">
        <f>VLOOKUP(hop4,'Info-Tabellen'!$P:$T,3,0)</f>
        <v>0</v>
      </c>
      <c r="Q21" s="519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56</v>
      </c>
      <c r="B22" s="108">
        <v>100</v>
      </c>
      <c r="C22" s="108">
        <v>9000</v>
      </c>
      <c r="D22" s="452"/>
      <c r="E22" s="453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3" t="s">
        <v>57</v>
      </c>
      <c r="K22" s="112">
        <f>IF(mashplato=0,voorlopigSVG,IF(mashplato&lt;6.5,voorlopigSVG+7.11,IF(mashplato&lt;12.5,voorlopigSVG+((12.5/mashplato)*(12.5/mashplato)*(12.5/mashplato)),voorlopigSVG)))</f>
        <v>64.24043834134132</v>
      </c>
      <c r="L22" s="26"/>
      <c r="M22" s="494" t="s">
        <v>58</v>
      </c>
      <c r="N22" s="2"/>
      <c r="O22" s="2"/>
      <c r="P22" s="519"/>
      <c r="Q22" s="519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6" t="s">
        <v>59</v>
      </c>
      <c r="B23" s="6"/>
      <c r="C23" s="113" t="s">
        <v>60</v>
      </c>
      <c r="D23" s="114">
        <f>SUM(D6:D21)</f>
        <v>3.4250000000000003</v>
      </c>
      <c r="E23" s="115">
        <f>SUM(E6:E22)</f>
        <v>22.649896450894065</v>
      </c>
      <c r="F23" s="116">
        <f>SUM(F6:F22)</f>
        <v>216.28993269269466</v>
      </c>
      <c r="G23" s="117" t="s">
        <v>61</v>
      </c>
      <c r="H23" s="118"/>
      <c r="I23" s="105"/>
      <c r="J23" s="493" t="s">
        <v>62</v>
      </c>
      <c r="K23" s="112">
        <f>VLOOKUP(HoofdGist,'Info-Tabellen'!$V:$Z,3,0)</f>
        <v>106</v>
      </c>
      <c r="L23" s="119"/>
      <c r="M23" s="495">
        <f>((CorSVG*mashpercent)+(SVGopsuiker*suikerpercent))/100</f>
        <v>0.6848919000482624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17" t="s">
        <v>693</v>
      </c>
      <c r="AA23" s="518"/>
      <c r="AB23" s="518"/>
      <c r="AC23" s="518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6"/>
      <c r="B24" s="120" t="s">
        <v>63</v>
      </c>
      <c r="C24" s="121">
        <f>IF(Eiwitrust="J",10,0)</f>
        <v>0</v>
      </c>
      <c r="D24" s="122" t="s">
        <v>64</v>
      </c>
      <c r="E24" s="123">
        <f>StamwortSG</f>
        <v>1094.8971817271486</v>
      </c>
      <c r="F24" s="124">
        <f>IF($F$23=0,0,$F$23+1.1*Kooktijd/60)</f>
        <v>217.573266026028</v>
      </c>
      <c r="G24" s="125" t="s">
        <v>65</v>
      </c>
      <c r="H24" s="126"/>
      <c r="I24" s="127"/>
      <c r="J24" s="496" t="s">
        <v>66</v>
      </c>
      <c r="K24" s="67"/>
      <c r="L24" s="26"/>
      <c r="M24" s="497">
        <f>0.1808*CORstamplato+0.8192*voorsp_eindplato</f>
        <v>9.941867530144616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18"/>
      <c r="AA24" s="518"/>
      <c r="AB24" s="518"/>
      <c r="AC24" s="518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67</v>
      </c>
      <c r="B25" s="129">
        <v>18</v>
      </c>
      <c r="C25" s="130" t="s">
        <v>701</v>
      </c>
      <c r="D25" s="131">
        <f>IF(Beslag="DUN",4.5,IF(Beslag="MEDIUM",3.5,3))</f>
        <v>4.5</v>
      </c>
      <c r="E25" s="131">
        <f>Gewenste_liters/Totaalkg</f>
        <v>2.335766423357664</v>
      </c>
      <c r="G25" s="132" t="s">
        <v>68</v>
      </c>
      <c r="H25" s="133" t="s">
        <v>35</v>
      </c>
      <c r="J25" s="483">
        <f>IF(voorsp_eindplato=0,1000,259/(259.12955-voorsp_eindplato)*1000)</f>
        <v>1027.8088397709246</v>
      </c>
      <c r="K25" s="26"/>
      <c r="L25" s="74">
        <f>(CORstamplato+Maltodexplato)-(CORstamplato*M23)</f>
        <v>7.137165834744835</v>
      </c>
      <c r="M25" s="498">
        <f>IF((CORstamplato-VSPrestextract)/(2.0665-0.010665*CORstamplato)&lt;0,0,(CORstamplato-VSPrestextract)/(2.0665-0.010665*(CORstamplato-Maltodexplato)))</f>
        <v>6.96353682779541</v>
      </c>
      <c r="N25" s="2"/>
      <c r="O25" s="2"/>
      <c r="P25" s="519">
        <f>VLOOKUP(hop5,'Info-Tabellen'!$P:$T,3,0)</f>
        <v>0</v>
      </c>
      <c r="Q25" s="519"/>
      <c r="R25" s="2"/>
      <c r="S25" s="91"/>
      <c r="T25" s="91"/>
      <c r="U25" s="14"/>
      <c r="V25" s="14"/>
      <c r="W25" s="14"/>
      <c r="X25" s="14"/>
      <c r="Z25" s="518"/>
      <c r="AA25" s="518"/>
      <c r="AB25" s="518"/>
      <c r="AC25" s="518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69</v>
      </c>
      <c r="B26" s="135">
        <f>moutkilos*mashfactor*1.02</f>
        <v>7.2070072992700736</v>
      </c>
      <c r="C26" s="509" t="s">
        <v>70</v>
      </c>
      <c r="D26" s="456">
        <f>IF(moutkilos=0," - -",IF(Aardbier=1,($B$28+tempverlies)*ketelinvloed/100,($B$27+tempverlies)*ketelinvloed/100))</f>
        <v>70.22980579791725</v>
      </c>
      <c r="E26" s="136" t="s">
        <v>71</v>
      </c>
      <c r="F26" s="35"/>
      <c r="G26" s="26"/>
      <c r="I26"/>
      <c r="J26" s="499" t="s">
        <v>696</v>
      </c>
      <c r="K26" s="461"/>
      <c r="L26" s="137"/>
      <c r="M26" s="500" t="s">
        <v>72</v>
      </c>
      <c r="N26" s="2"/>
      <c r="O26" s="2"/>
      <c r="P26" s="519"/>
      <c r="Q26" s="519"/>
      <c r="R26" s="2"/>
      <c r="S26" s="91"/>
      <c r="T26" s="91"/>
      <c r="U26" s="14"/>
      <c r="V26" s="14"/>
      <c r="W26" s="14"/>
      <c r="X26" s="14"/>
      <c r="Z26" s="518"/>
      <c r="AA26" s="518"/>
      <c r="AB26" s="518"/>
      <c r="AC26" s="518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8" t="str">
        <f>IF(Aardbier=1,"éénstaps maisch,",IF(Eiwitrust="N","Geen eiwitrust, direct naar &gt;","1e fase, Eiwitrust&gt;"))</f>
        <v>Geen eiwitrust, direct naar &gt;</v>
      </c>
      <c r="B27" s="139">
        <f>IF(Aardbier=1,"      er is",IF(Eiwitrust="J",54,$B$28))</f>
        <v>63</v>
      </c>
      <c r="C27" s="140">
        <f>IF(Aardbier=1," dus geen ",IF(Eiwitrust="J","± 2° C",""))</f>
      </c>
      <c r="D27" s="141">
        <f>IF(Aardbier=1,"  eiwitrust   ",IF(Eiwitrust="J",C24,""))</f>
      </c>
      <c r="E27" s="142"/>
      <c r="F27" s="143"/>
      <c r="G27" s="144" t="s">
        <v>73</v>
      </c>
      <c r="J27" s="501" t="s">
        <v>74</v>
      </c>
      <c r="K27" s="462"/>
      <c r="L27" s="145"/>
      <c r="M27" s="502" t="s">
        <v>75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18"/>
      <c r="AA27" s="518"/>
      <c r="AB27" s="518"/>
      <c r="AC27" s="518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6" t="str">
        <f>IF(Aardbier=1,"éénstaps maisch &gt;","β amylase (maltose)&gt;")</f>
        <v>β amylase (maltose)&gt;</v>
      </c>
      <c r="B28" s="147">
        <f>IF(Aardbier=1,68,IF(Aardbier="D",62,63))</f>
        <v>63</v>
      </c>
      <c r="C28" s="148" t="str">
        <f>IF(Aardbier=1,"± 1,5°C",IF(Aardbier="D","± 1,5°C","± 2°C"))</f>
        <v>± 2°C</v>
      </c>
      <c r="D28" s="149">
        <f>IF(Aardbier=1,90,IF(Aardbier="Z",25-($C$24/2),45-($C$24/2)))</f>
        <v>25</v>
      </c>
      <c r="E28" s="150"/>
      <c r="F28" s="151"/>
      <c r="J28" s="503">
        <f>Gewenste_liters*(1+VSPalcvol/4)</f>
        <v>8.180281730672002</v>
      </c>
      <c r="K28" s="506"/>
      <c r="L28" s="504">
        <f>IF((CORstamplato-VSPrestextract)/(2.0665-0.010665*CORstamplato)=0,0,voorsp_eindSG/1000*VSPalcogewicht/0.794/100)</f>
        <v>0.09014086533600134</v>
      </c>
      <c r="M28" s="505" t="s">
        <v>76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8">
        <f>IF(Aardbier="D","Gemengde amylase &gt;","")</f>
      </c>
      <c r="B29" s="152">
        <f>IF(Aardbier="D","66,5","")</f>
      </c>
      <c r="C29" s="152">
        <f>IF(Aardbier="D","± 1,5°C","")</f>
      </c>
      <c r="D29" s="141">
        <f>IF(Aardbier="D",15,"")</f>
      </c>
      <c r="E29" s="508"/>
      <c r="F29" s="153"/>
      <c r="J29" s="154" t="s">
        <v>77</v>
      </c>
      <c r="K29" s="463">
        <f>$M$29*1.04</f>
        <v>10.549005679889445</v>
      </c>
      <c r="L29" s="156" t="s">
        <v>78</v>
      </c>
      <c r="M29" s="463">
        <f>($J$28+verlieswater)</f>
        <v>10.14327469220139</v>
      </c>
      <c r="N29" s="119"/>
      <c r="O29" s="119"/>
      <c r="P29" s="519">
        <f>VLOOKUP(hop6,'Info-Tabellen'!$P:$T,3,0)</f>
        <v>0</v>
      </c>
      <c r="Q29" s="519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7" t="str">
        <f>IF(Aardbier=1,"","α amylase (body) &gt;")</f>
        <v>α amylase (body) &gt;</v>
      </c>
      <c r="B30" s="147">
        <f>IF(Aardbier=1,"",72)</f>
        <v>72</v>
      </c>
      <c r="C30" s="158" t="str">
        <f>IF(Aardbier=1,"",IF(Aardbier="D","± 1,5°C","± 2°C"))</f>
        <v>± 2°C</v>
      </c>
      <c r="D30" s="159">
        <f>IF(Aardbier=1,"",IF(Aardbier="Z",30,20))</f>
        <v>30</v>
      </c>
      <c r="E30" s="150"/>
      <c r="F30" s="153"/>
      <c r="I30" s="160"/>
      <c r="J30" s="161" t="s">
        <v>79</v>
      </c>
      <c r="K30" s="155">
        <f>IF((Gewenste_liters+(1.7*moutkilos)*1.2)&lt;mashwater,mashwater+verkookwater,($M$29*1.18)+(moutkilos*0.75))</f>
        <v>14.23781413679764</v>
      </c>
      <c r="L30" s="14"/>
      <c r="N30" s="119"/>
      <c r="O30" s="119"/>
      <c r="P30" s="519"/>
      <c r="Q30" s="519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2" t="s">
        <v>80</v>
      </c>
      <c r="B31" s="163" t="s">
        <v>81</v>
      </c>
      <c r="D31" s="164" t="s">
        <v>82</v>
      </c>
      <c r="E31" s="165">
        <f>IF(mashplato&lt;SUM(E17:E21),Vast_verlies,IF(mashplato=0,0,totaalvolume-mashwater))</f>
        <v>7.0308068375275665</v>
      </c>
      <c r="F31" s="166" t="s">
        <v>83</v>
      </c>
      <c r="G31" s="167" t="s">
        <v>84</v>
      </c>
      <c r="H31" s="168"/>
      <c r="L31" s="169" t="s">
        <v>85</v>
      </c>
      <c r="M31" s="170">
        <f>$K$29/6.5</f>
        <v>1.6229239507522224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1" t="s">
        <v>86</v>
      </c>
      <c r="B32" s="172">
        <f>259/(259.12955-C32)*1000</f>
        <v>1027.8074779105714</v>
      </c>
      <c r="C32" s="173">
        <f>IF(mashplato&lt;13.4,3,mashplato*mashplato/58)</f>
        <v>7.1368319410491345</v>
      </c>
      <c r="D32" s="174">
        <f>C32*1.035</f>
        <v>7.386621058985853</v>
      </c>
      <c r="F32" s="14"/>
      <c r="G32" s="523" t="s">
        <v>690</v>
      </c>
      <c r="H32" s="523"/>
      <c r="I32" s="523"/>
      <c r="J32" s="175" t="s">
        <v>87</v>
      </c>
      <c r="K32" s="176" t="s">
        <v>88</v>
      </c>
      <c r="L32" s="176" t="s">
        <v>89</v>
      </c>
      <c r="M32" s="177" t="s">
        <v>90</v>
      </c>
      <c r="N32" s="2"/>
      <c r="O32" s="2"/>
      <c r="P32" s="524" t="s">
        <v>91</v>
      </c>
      <c r="Q32" s="524"/>
      <c r="R32" s="2"/>
      <c r="S32" s="459"/>
      <c r="T32" s="178"/>
      <c r="U32" s="45"/>
      <c r="V32" s="45"/>
      <c r="W32" s="14"/>
      <c r="X32" s="14"/>
      <c r="AC32" s="2"/>
      <c r="AD32" s="2"/>
      <c r="AE32" s="2"/>
    </row>
    <row r="33" spans="1:31" ht="12" customHeight="1">
      <c r="A33" s="179" t="s">
        <v>92</v>
      </c>
      <c r="B33" s="176" t="s">
        <v>93</v>
      </c>
      <c r="C33" s="180" t="s">
        <v>94</v>
      </c>
      <c r="D33" s="181" t="s">
        <v>95</v>
      </c>
      <c r="E33" s="180" t="s">
        <v>96</v>
      </c>
      <c r="F33" s="182" t="s">
        <v>97</v>
      </c>
      <c r="G33" s="520" t="s">
        <v>98</v>
      </c>
      <c r="H33" s="520"/>
      <c r="I33" s="520"/>
      <c r="J33" s="183"/>
      <c r="K33" s="184"/>
      <c r="L33" s="185" t="str">
        <f>VLOOKUP(G33,'Info-Tabellen'!$AB:$AD,2,0)</f>
        <v>-</v>
      </c>
      <c r="M33" s="186"/>
      <c r="N33" s="2"/>
      <c r="O33" s="2"/>
      <c r="P33" s="522" t="str">
        <f>VLOOKUP(G33,'Info-Tabellen'!$AB:$AD,3,0)</f>
        <v>-</v>
      </c>
      <c r="Q33" s="522"/>
      <c r="R33" s="2"/>
      <c r="T33" s="1" t="s">
        <v>99</v>
      </c>
      <c r="V33" s="45"/>
      <c r="W33" s="14"/>
      <c r="AC33" s="2"/>
      <c r="AD33" s="2"/>
      <c r="AE33" s="2"/>
    </row>
    <row r="34" spans="1:31" ht="12" customHeight="1">
      <c r="A34" s="187" t="s">
        <v>447</v>
      </c>
      <c r="B34" s="188" t="s">
        <v>704</v>
      </c>
      <c r="C34" s="189">
        <v>20</v>
      </c>
      <c r="D34" s="190">
        <v>10.2</v>
      </c>
      <c r="E34" s="191">
        <v>0</v>
      </c>
      <c r="F34" s="192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49.62152512073633</v>
      </c>
      <c r="G34" s="520" t="s">
        <v>98</v>
      </c>
      <c r="H34" s="520"/>
      <c r="I34" s="520"/>
      <c r="J34" s="190"/>
      <c r="K34" s="190"/>
      <c r="L34" s="193" t="str">
        <f>VLOOKUP(G34,'Info-Tabellen'!$AB:$AD,2,0)</f>
        <v>-</v>
      </c>
      <c r="M34" s="194"/>
      <c r="N34" s="2"/>
      <c r="O34" s="2"/>
      <c r="P34" s="521" t="str">
        <f>VLOOKUP(G34,'Info-Tabellen'!$AB:$AD,3,0)</f>
        <v>-</v>
      </c>
      <c r="Q34" s="521"/>
      <c r="R34" s="2"/>
      <c r="T34" s="195">
        <f aca="true" t="shared" si="6" ref="T34:T39">IF(B34="BLM",C34*0.005,C34*0.0022)</f>
        <v>0.044000000000000004</v>
      </c>
      <c r="V34" s="45"/>
      <c r="W34" s="14"/>
      <c r="AC34" s="2"/>
      <c r="AD34" s="2"/>
      <c r="AE34" s="2"/>
    </row>
    <row r="35" spans="1:31" ht="12" customHeight="1">
      <c r="A35" s="196" t="s">
        <v>329</v>
      </c>
      <c r="B35" s="197" t="s">
        <v>101</v>
      </c>
      <c r="C35" s="198">
        <f>40/20*Gewenste_liters</f>
        <v>16</v>
      </c>
      <c r="D35" s="190">
        <v>5.3</v>
      </c>
      <c r="E35" s="200">
        <f>Kooktijd-10</f>
        <v>60</v>
      </c>
      <c r="F35" s="201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5.052257701126641</v>
      </c>
      <c r="G35" s="520" t="s">
        <v>98</v>
      </c>
      <c r="H35" s="520"/>
      <c r="I35" s="520"/>
      <c r="J35" s="183"/>
      <c r="K35" s="184"/>
      <c r="L35" s="185" t="str">
        <f>VLOOKUP(G35,'Info-Tabellen'!$AB:$AD,2,0)</f>
        <v>-</v>
      </c>
      <c r="M35" s="186"/>
      <c r="N35" s="2"/>
      <c r="O35" s="2"/>
      <c r="P35" s="522" t="str">
        <f>VLOOKUP(G35,'Info-Tabellen'!$AB:$AD,3,0)</f>
        <v>-</v>
      </c>
      <c r="Q35" s="522"/>
      <c r="R35" s="2"/>
      <c r="T35" s="195">
        <f t="shared" si="6"/>
        <v>0.08</v>
      </c>
      <c r="V35" s="45"/>
      <c r="W35" s="14"/>
      <c r="AC35" s="2"/>
      <c r="AD35" s="2"/>
      <c r="AE35" s="2"/>
    </row>
    <row r="36" spans="1:37" ht="12" customHeight="1">
      <c r="A36" s="187" t="s">
        <v>516</v>
      </c>
      <c r="B36" s="188" t="s">
        <v>101</v>
      </c>
      <c r="C36" s="189">
        <v>15.1</v>
      </c>
      <c r="D36" s="190">
        <f>VLOOKUP(hop3,'Info-Tabellen'!$P:$R,2,0)</f>
        <v>4.5</v>
      </c>
      <c r="E36" s="191">
        <v>60</v>
      </c>
      <c r="F36" s="192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  <v>4.048359797070226</v>
      </c>
      <c r="G36" s="525" t="s">
        <v>98</v>
      </c>
      <c r="H36" s="525"/>
      <c r="I36" s="525"/>
      <c r="J36" s="190"/>
      <c r="K36" s="190"/>
      <c r="L36" s="193" t="str">
        <f>VLOOKUP(G36,'Info-Tabellen'!$AB:$AD,2,0)</f>
        <v>-</v>
      </c>
      <c r="M36" s="194"/>
      <c r="N36" s="2"/>
      <c r="O36" s="2"/>
      <c r="P36" s="521" t="str">
        <f>VLOOKUP(G36,'Info-Tabellen'!$AB:$AD,3,0)</f>
        <v>-</v>
      </c>
      <c r="Q36" s="521"/>
      <c r="R36" s="2"/>
      <c r="T36" s="195">
        <f t="shared" si="6"/>
        <v>0.0755</v>
      </c>
      <c r="V36" s="45"/>
      <c r="W36" s="14"/>
      <c r="AC36" s="2"/>
      <c r="AD36" s="2"/>
      <c r="AE36" s="2"/>
      <c r="AG36" s="202"/>
      <c r="AH36" s="202"/>
      <c r="AI36" s="202"/>
      <c r="AJ36" s="202"/>
      <c r="AK36" s="202"/>
    </row>
    <row r="37" spans="1:37" ht="12" customHeight="1">
      <c r="A37" s="196" t="s">
        <v>100</v>
      </c>
      <c r="B37" s="197" t="s">
        <v>101</v>
      </c>
      <c r="C37" s="203"/>
      <c r="D37" s="199">
        <f>VLOOKUP(hop4,'Info-Tabellen'!$P:$R,2,0)</f>
        <v>0</v>
      </c>
      <c r="E37" s="204"/>
      <c r="F37" s="201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20" t="s">
        <v>98</v>
      </c>
      <c r="H37" s="520"/>
      <c r="I37" s="520"/>
      <c r="J37" s="183"/>
      <c r="K37" s="184"/>
      <c r="L37" s="185" t="str">
        <f>VLOOKUP(G37,'Info-Tabellen'!$AB:$AD,2,0)</f>
        <v>-</v>
      </c>
      <c r="M37" s="186"/>
      <c r="N37" s="2"/>
      <c r="O37" s="2"/>
      <c r="P37" s="522" t="str">
        <f>VLOOKUP(G37,'Info-Tabellen'!$AB:$AD,3,0)</f>
        <v>-</v>
      </c>
      <c r="Q37" s="522"/>
      <c r="R37" s="2"/>
      <c r="T37" s="195">
        <f t="shared" si="6"/>
        <v>0</v>
      </c>
      <c r="V37" s="45"/>
      <c r="AC37" s="2"/>
      <c r="AD37" s="2"/>
      <c r="AE37" s="2"/>
      <c r="AG37" s="202"/>
      <c r="AH37" s="202"/>
      <c r="AI37" s="202"/>
      <c r="AJ37" s="202"/>
      <c r="AK37" s="202"/>
    </row>
    <row r="38" spans="1:43" ht="12" customHeight="1">
      <c r="A38" s="187" t="s">
        <v>100</v>
      </c>
      <c r="B38" s="188" t="s">
        <v>101</v>
      </c>
      <c r="C38" s="189"/>
      <c r="D38" s="190">
        <f>VLOOKUP(hop5,'Info-Tabellen'!$P:$R,2,0)</f>
        <v>0</v>
      </c>
      <c r="E38" s="191"/>
      <c r="F38" s="192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25" t="s">
        <v>98</v>
      </c>
      <c r="H38" s="525"/>
      <c r="I38" s="525"/>
      <c r="J38" s="190"/>
      <c r="K38" s="190"/>
      <c r="L38" s="193" t="str">
        <f>VLOOKUP(G38,'Info-Tabellen'!$AB:$AD,2,0)</f>
        <v>-</v>
      </c>
      <c r="M38" s="194"/>
      <c r="N38" s="2"/>
      <c r="O38" s="2"/>
      <c r="P38" s="521" t="str">
        <f>VLOOKUP(G38,'Info-Tabellen'!$AB:$AD,3,0)</f>
        <v>-</v>
      </c>
      <c r="Q38" s="521"/>
      <c r="R38" s="2"/>
      <c r="T38" s="195">
        <f t="shared" si="6"/>
        <v>0</v>
      </c>
      <c r="V38" s="45"/>
      <c r="AC38" s="2"/>
      <c r="AD38" s="2"/>
      <c r="AE38" s="2"/>
      <c r="AF38" s="202"/>
      <c r="AG38" s="45"/>
      <c r="AH38" s="45"/>
      <c r="AI38" s="45"/>
      <c r="AJ38" s="45"/>
      <c r="AK38" s="45"/>
      <c r="AL38" s="202"/>
      <c r="AM38" s="202"/>
      <c r="AN38" s="202"/>
      <c r="AO38" s="202"/>
      <c r="AP38" s="202"/>
      <c r="AQ38" s="202"/>
    </row>
    <row r="39" spans="1:43" ht="12" customHeight="1">
      <c r="A39" s="196" t="s">
        <v>100</v>
      </c>
      <c r="B39" s="197" t="s">
        <v>101</v>
      </c>
      <c r="C39" s="205"/>
      <c r="D39" s="206">
        <f>VLOOKUP(hop6,'Info-Tabellen'!$P:$R,2,0)</f>
        <v>0</v>
      </c>
      <c r="E39" s="207"/>
      <c r="F39" s="208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0" t="s">
        <v>98</v>
      </c>
      <c r="H39" s="520"/>
      <c r="I39" s="520"/>
      <c r="J39" s="183"/>
      <c r="K39" s="184"/>
      <c r="L39" s="185" t="str">
        <f>VLOOKUP(G39,'Info-Tabellen'!$AB:$AD,2,0)</f>
        <v>-</v>
      </c>
      <c r="M39" s="186"/>
      <c r="N39" s="2"/>
      <c r="O39" s="2"/>
      <c r="P39" s="522" t="str">
        <f>VLOOKUP(G39,'Info-Tabellen'!$AB:$AD,3,0)</f>
        <v>-</v>
      </c>
      <c r="Q39" s="522"/>
      <c r="R39" s="2"/>
      <c r="T39" s="195">
        <f t="shared" si="6"/>
        <v>0</v>
      </c>
      <c r="V39" s="45"/>
      <c r="W39" s="202"/>
      <c r="AC39" s="2"/>
      <c r="AD39" s="2"/>
      <c r="AE39" s="2"/>
      <c r="AF39" s="202"/>
      <c r="AG39" s="45"/>
      <c r="AH39" s="45"/>
      <c r="AI39" s="45"/>
      <c r="AJ39" s="45"/>
      <c r="AK39" s="45"/>
      <c r="AL39" s="202"/>
      <c r="AM39" s="202"/>
      <c r="AN39" s="202"/>
      <c r="AO39" s="202"/>
      <c r="AP39" s="202"/>
      <c r="AQ39" s="202"/>
    </row>
    <row r="40" spans="1:43" ht="12" customHeight="1">
      <c r="A40" s="209" t="s">
        <v>102</v>
      </c>
      <c r="B40" s="210" t="s">
        <v>103</v>
      </c>
      <c r="C40" s="211"/>
      <c r="D40" s="212">
        <v>6</v>
      </c>
      <c r="E40" s="213" t="s">
        <v>104</v>
      </c>
      <c r="F40" s="214" t="str">
        <f>IF(C40=0,"  ",C40*D40/Gewenste_liters)</f>
        <v>  </v>
      </c>
      <c r="G40" s="525" t="s">
        <v>98</v>
      </c>
      <c r="H40" s="525"/>
      <c r="I40" s="525"/>
      <c r="J40" s="190"/>
      <c r="K40" s="190"/>
      <c r="L40" s="193" t="str">
        <f>VLOOKUP(G40,'Info-Tabellen'!$AB:$AD,2,0)</f>
        <v>-</v>
      </c>
      <c r="M40" s="194"/>
      <c r="N40" s="2"/>
      <c r="O40" s="2"/>
      <c r="P40" s="521" t="str">
        <f>VLOOKUP(G40,'Info-Tabellen'!$AB:$AD,3,0)</f>
        <v>-</v>
      </c>
      <c r="Q40" s="521"/>
      <c r="R40" s="2"/>
      <c r="S40" s="215" t="s">
        <v>105</v>
      </c>
      <c r="T40" s="216">
        <f>Vast_verlies</f>
        <v>1</v>
      </c>
      <c r="U40" s="217" t="s">
        <v>106</v>
      </c>
      <c r="V40" s="202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8" t="s">
        <v>107</v>
      </c>
      <c r="B41" s="219">
        <f>SUM(F34:F40)</f>
        <v>58.7221426189332</v>
      </c>
      <c r="C41" s="220"/>
      <c r="D41" s="221"/>
      <c r="E41" s="222" t="s">
        <v>108</v>
      </c>
      <c r="F41" s="223">
        <f>IF(B41="","",B41*Gewenste_liters/(Gewenste_liters+Starter))</f>
        <v>54.17729067870143</v>
      </c>
      <c r="G41" s="520" t="s">
        <v>98</v>
      </c>
      <c r="H41" s="520"/>
      <c r="I41" s="520"/>
      <c r="J41" s="224"/>
      <c r="K41" s="225"/>
      <c r="L41" s="226" t="str">
        <f>VLOOKUP(G41,'Info-Tabellen'!$AB:$AD,2,0)</f>
        <v>-</v>
      </c>
      <c r="M41" s="227"/>
      <c r="N41" s="2"/>
      <c r="O41" s="2"/>
      <c r="P41" s="522" t="str">
        <f>VLOOKUP(G41,'Info-Tabellen'!$AB:$AD,3,0)</f>
        <v>-</v>
      </c>
      <c r="Q41" s="522"/>
      <c r="R41" s="2"/>
      <c r="S41" s="215" t="s">
        <v>109</v>
      </c>
      <c r="T41" s="216">
        <f>SUM(T34:T40)</f>
        <v>1.1995</v>
      </c>
      <c r="U41" s="217" t="s">
        <v>106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8" t="s">
        <v>110</v>
      </c>
      <c r="B42" s="229"/>
      <c r="C42" s="230"/>
      <c r="D42" s="231" t="s">
        <v>111</v>
      </c>
      <c r="E42" s="232"/>
      <c r="F42" s="233"/>
      <c r="G42" s="234">
        <f>VLOOKUP(HoofdGist,'Info-Tabellen'!$V:$Z,4,0)</f>
        <v>20</v>
      </c>
      <c r="H42" s="229" t="s">
        <v>112</v>
      </c>
      <c r="L42" s="231" t="s">
        <v>113</v>
      </c>
      <c r="M42" s="235">
        <v>21</v>
      </c>
      <c r="N42" s="2"/>
      <c r="O42" s="2"/>
      <c r="P42" s="236"/>
      <c r="Q42" s="236"/>
      <c r="R42" s="2"/>
      <c r="S42" s="215" t="s">
        <v>114</v>
      </c>
      <c r="T42" s="237">
        <f>verkookpercent/100*Kooktijd/60*$J$28</f>
        <v>0.7634929615293868</v>
      </c>
      <c r="U42" s="75" t="s">
        <v>115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8" t="s">
        <v>116</v>
      </c>
      <c r="B43" s="239"/>
      <c r="C43" s="240" t="s">
        <v>117</v>
      </c>
      <c r="D43" s="241"/>
      <c r="E43" s="242" t="s">
        <v>118</v>
      </c>
      <c r="F43" s="243"/>
      <c r="G43" s="244"/>
      <c r="H43" s="245">
        <f>IF($M$18="N",0,Starter)</f>
        <v>0.6711080429894537</v>
      </c>
      <c r="I43" s="526">
        <f>IF(Stamwort="","",(((ToegevLiter*12.4*1.05)+(StamSG/1000*Stamplato*Bekomenliter))/(Bekomenliter+ToegevLiter)/(StamSG/1000)))</f>
        <v>21.571597963830676</v>
      </c>
      <c r="J43" s="526"/>
      <c r="K43" s="246">
        <f>IF(Stamwort="","",1+(gistmetstamplato/(258.6-0.87955*gistmetstamplato)))</f>
        <v>1.0900216790233586</v>
      </c>
      <c r="L43" s="247">
        <f>IF(gistmetstamplato="","",IF(Eindcijfer="","",0.1808*gistmetstamplato+0.8192*Eindplato))</f>
        <v>9.71825353932038</v>
      </c>
      <c r="M43" s="248">
        <f>IF(gistmetstamplato="","",IF(Eindcijfer="","",(gistmetstamplato-Restextract)/(2.0665-0.010665*gistmetstamplato)))</f>
        <v>6.454526951432365</v>
      </c>
      <c r="N43" s="2"/>
      <c r="O43" s="2"/>
      <c r="P43" s="249"/>
      <c r="Q43" s="249"/>
      <c r="R43" s="250"/>
      <c r="S43" s="251" t="s">
        <v>119</v>
      </c>
      <c r="T43" s="252">
        <f>verkookwater+hopverlies</f>
        <v>1.9629929615293868</v>
      </c>
      <c r="U43" s="253" t="s">
        <v>120</v>
      </c>
      <c r="V43" s="250"/>
      <c r="W43" s="250"/>
      <c r="Y43" s="250"/>
      <c r="Z43" s="250"/>
      <c r="AA43" s="250"/>
      <c r="AB43" s="250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4" t="s">
        <v>121</v>
      </c>
      <c r="B44" s="255" t="s">
        <v>700</v>
      </c>
      <c r="C44" s="256">
        <v>1095</v>
      </c>
      <c r="D44" s="257">
        <f>IF(Stamwort="","SG",IF(meter="S.G.",Stamwort,IF(meter="°Plato",259/(259.12955-Stamwort)*1000,IF(meter="Brix",259/(259.12955-Stamplato)*1000))))</f>
        <v>1095</v>
      </c>
      <c r="E44" s="527">
        <f>IF(Stamwort="","°Plato",IF(meter="°Plato",Stamwort,IF(meter="S.G.",(259*Stamwort/1000-259)/(Stamwort/1000-0.0089),IF(meter="Brix",Stamwort/Brixratio))))</f>
        <v>22.654451707945878</v>
      </c>
      <c r="F44" s="527"/>
      <c r="G44" s="528">
        <f>IF(Stamwort="","Brix",IF(meter="Brix",Stamwort,IF(meter="°Plato",Stamwort*Brixratio,IF(meter="S.G.",Stamplato*Brixratio))))</f>
        <v>23.36668473897648</v>
      </c>
      <c r="H44" s="528"/>
      <c r="I44" s="258" t="s">
        <v>122</v>
      </c>
      <c r="J44" s="259"/>
      <c r="K44" s="260"/>
      <c r="M44" s="261">
        <v>6</v>
      </c>
      <c r="N44" s="2"/>
      <c r="O44" s="2"/>
      <c r="P44" s="249"/>
      <c r="Q44" s="249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2"/>
      <c r="B45" s="263"/>
      <c r="C45" s="264" t="s">
        <v>123</v>
      </c>
      <c r="D45" s="265">
        <f>voorsp_eindSG</f>
        <v>1027.8088397709246</v>
      </c>
      <c r="G45" s="266" t="s">
        <v>124</v>
      </c>
      <c r="H45" s="267">
        <v>18</v>
      </c>
      <c r="I45" s="6"/>
      <c r="J45" s="264"/>
      <c r="K45" s="264" t="s">
        <v>125</v>
      </c>
      <c r="L45" s="529"/>
      <c r="M45" s="529"/>
      <c r="N45" s="2"/>
      <c r="O45" s="2"/>
      <c r="P45" s="249"/>
      <c r="Q45" s="249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"/>
      <c r="AD45" s="2"/>
      <c r="AE45" s="2"/>
      <c r="AF45" s="45"/>
      <c r="AG45" s="202"/>
      <c r="AH45" s="202"/>
      <c r="AI45" s="202"/>
      <c r="AJ45" s="202"/>
      <c r="AK45" s="202"/>
      <c r="AL45" s="45"/>
      <c r="AM45" s="45"/>
      <c r="AN45" s="45"/>
      <c r="AO45" s="45"/>
      <c r="AP45" s="45"/>
      <c r="AQ45" s="45"/>
    </row>
    <row r="46" spans="2:43" ht="12" customHeight="1">
      <c r="B46" s="240" t="s">
        <v>126</v>
      </c>
      <c r="C46" s="268" t="s">
        <v>708</v>
      </c>
      <c r="G46" s="22" t="s">
        <v>127</v>
      </c>
      <c r="H46" s="255" t="s">
        <v>700</v>
      </c>
      <c r="K46" s="2"/>
      <c r="L46" s="269" t="s">
        <v>128</v>
      </c>
      <c r="M46" s="256">
        <v>1054</v>
      </c>
      <c r="N46"/>
      <c r="O46" s="2"/>
      <c r="P46" s="249"/>
      <c r="Q46" s="249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117</v>
      </c>
      <c r="E47" s="270"/>
      <c r="F47" s="271" t="s">
        <v>129</v>
      </c>
      <c r="G47" s="272">
        <f>IF(Eindcijfer="","°Plato",IF(meternadien="°Plato",Eindcijfer,IF(meternadien="S.G.",(259*Eindcijfer/1000-259)/(Eindcijfer/1000-0.0089),Eindcijfer/1.03)))</f>
        <v>13.382451440053572</v>
      </c>
      <c r="H47" s="534">
        <f>IF(Eindcijfer="","Brix",IF(meternadien="Brix",Eindcijfer,IF(meternadien="°Plato",Eindcijfer*Brixratio,IF(meternadien="S.G.",VLeindplato*Brixratio))))</f>
        <v>13.803182167711224</v>
      </c>
      <c r="I47" s="534"/>
      <c r="J47" s="273">
        <f>IF(Eindcijfer="","SG",IF(meternadien="S.G.",Eindcijfer,IF(meternadien="°Plato",259/(259.12955-Eindcijfer)*1000,IF(meternadien="Brix",259/(259.12955-Eindcijfer)*1000))))</f>
        <v>1054</v>
      </c>
      <c r="L47" s="274">
        <f>IF(ISNUMBER(alconalager),12-(alconalager*100/1.97),"")</f>
        <v>7.758230670328954</v>
      </c>
      <c r="M47" s="274">
        <f>IF(alconalager="","",IF(kleur&gt;107,6,((35000-(kleur^2))/3888)))</f>
        <v>6</v>
      </c>
      <c r="N47" s="2"/>
      <c r="O47" s="2"/>
      <c r="P47" s="249"/>
      <c r="Q47" s="249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5" t="str">
        <f>IF(refofhyg="HYGRO","°Plato en S.G. conversie &gt; ","Met een hygrometer is dit &gt;")</f>
        <v>Met een hygrometer is dit &gt;</v>
      </c>
      <c r="B48" s="276">
        <f>IF(EindSG="SG","°Pt",IF(refofhyg="REFRAC",(259*EindSG/1000-259)/(EindSG/1000-0.0089),VLeindplato))</f>
        <v>7.102183383129629</v>
      </c>
      <c r="C48" s="277" t="s">
        <v>130</v>
      </c>
      <c r="D48" s="278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1027.9437672209992</v>
      </c>
      <c r="F48" s="279"/>
      <c r="I48" s="215" t="s">
        <v>131</v>
      </c>
      <c r="J48" s="280">
        <f>IF(Totaalkg=0,"",IF(Bekomenliter="","",IF(Stamwort="","",StamSG/1000*Bekomenliter*Stamplato/(Totaalkg)/100)))</f>
        <v>0.43456860648526835</v>
      </c>
      <c r="N48" s="2"/>
      <c r="O48" s="2"/>
      <c r="P48" s="249"/>
      <c r="Q48" s="249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"/>
      <c r="AD48" s="2"/>
      <c r="AE48" s="2"/>
      <c r="AF48" s="202"/>
      <c r="AL48" s="202"/>
      <c r="AM48" s="202"/>
      <c r="AN48" s="202"/>
      <c r="AO48" s="202"/>
      <c r="AP48" s="202"/>
      <c r="AQ48" s="202"/>
    </row>
    <row r="49" spans="1:31" ht="12" customHeight="1">
      <c r="A49" s="281" t="s">
        <v>132</v>
      </c>
      <c r="B49" s="282">
        <f>IF(Stamwort="","",IF(Eindcijfer="","",((StamSG-EindSG)/(StamSG-1000))))</f>
        <v>0.7058550818842186</v>
      </c>
      <c r="C49" s="283" t="s">
        <v>133</v>
      </c>
      <c r="E49" s="284"/>
      <c r="F49" s="282">
        <f>IF(Eindcijfer="","",IF(gistmetstamplato="","",(gistmetstamplato-Restextract)/gistmetstamplato))</f>
        <v>0.5494884729626857</v>
      </c>
      <c r="G49" s="285">
        <f>IF(alcogewicht="","",IF(Eindcijfer="","",IF(Bekomenliter="","",EindSG/1000*alcogewicht/0.794/100)))</f>
        <v>0.0835628557945196</v>
      </c>
      <c r="H49" s="286" t="s">
        <v>76</v>
      </c>
      <c r="I49" s="287">
        <f>IF(Eindcijfer="","",IF(nietvergist&gt;6,"Opgelet ! &gt;&gt;",IF(nietvergist&gt;5,"zie na: &gt;&gt;","")))</f>
      </c>
      <c r="L49" s="288" t="str">
        <f>IF(nietvergist="","","Mogelijks niet vergist suiker&gt;")</f>
        <v>Mogelijks niet vergist suiker&gt;</v>
      </c>
      <c r="M49" s="289">
        <f>IF(Stamwort="","",IF(Eindcijfer="","",IF(((Eindplato-voorsp_eindplato)*8.1-2)&lt;0,0,(Eindplato-voorsp_eindplato)*8.1-2)))</f>
        <v>0</v>
      </c>
      <c r="N49" s="2"/>
      <c r="O49" s="2"/>
      <c r="P49" s="290"/>
      <c r="Q49" s="249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"/>
      <c r="AD49" s="2"/>
      <c r="AE49" s="2"/>
    </row>
    <row r="50" spans="1:31" ht="12" customHeight="1">
      <c r="A50" s="291" t="s">
        <v>134</v>
      </c>
      <c r="B50" s="292">
        <f>IF($G$51="J",$L$51,IF(alconalager="","",IF(kleur&gt;50,botsuikervlgskleur,botsuikervlgsalco)))</f>
        <v>5</v>
      </c>
      <c r="D50" s="293" t="s">
        <v>135</v>
      </c>
      <c r="E50" s="294">
        <v>21</v>
      </c>
      <c r="F50"/>
      <c r="G50" s="295" t="s">
        <v>136</v>
      </c>
      <c r="H50" s="296">
        <v>14</v>
      </c>
      <c r="I50" s="287"/>
      <c r="K50" s="22" t="s">
        <v>137</v>
      </c>
      <c r="L50" s="535"/>
      <c r="M50" s="535"/>
      <c r="N50" s="2"/>
      <c r="O50" s="2"/>
      <c r="P50" s="290"/>
      <c r="Q50" s="249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"/>
      <c r="AD50" s="2"/>
      <c r="AE50" s="2"/>
    </row>
    <row r="51" spans="1:31" ht="12" customHeight="1">
      <c r="A51" s="132" t="s">
        <v>139</v>
      </c>
      <c r="B51" s="536" t="s">
        <v>140</v>
      </c>
      <c r="C51" s="536"/>
      <c r="F51" s="215" t="s">
        <v>141</v>
      </c>
      <c r="G51" s="90" t="s">
        <v>691</v>
      </c>
      <c r="K51" s="284" t="s">
        <v>142</v>
      </c>
      <c r="L51" s="297">
        <v>5</v>
      </c>
      <c r="N51" s="2"/>
      <c r="O51" s="2"/>
      <c r="P51" s="290"/>
      <c r="Q51" s="249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"/>
      <c r="AD51" s="2"/>
      <c r="AE51" s="2"/>
    </row>
    <row r="52" spans="1:31" ht="12" customHeight="1">
      <c r="A52" s="298" t="s">
        <v>143</v>
      </c>
      <c r="B52" s="299">
        <f>IF(Eindcijfer="","",IF(suikersoort="Kristalsuiker",adviessuiker,IF(suikersoort="Dextrose",adviessuiker/0.93,adviessuiker/0.975)))</f>
        <v>5</v>
      </c>
      <c r="C52" s="300" t="s">
        <v>144</v>
      </c>
      <c r="D52" s="301">
        <f>IF(adviessuiker="","",suikergift*Bekomenliter)</f>
        <v>30</v>
      </c>
      <c r="G52" s="302"/>
      <c r="H52" s="302"/>
      <c r="I52" s="303" t="str">
        <f>IF(Eindcijfer="","",IF(suikergift=corsuiker,"Suikergift blijft dezelfde: ","Indien restsuiker verder kan uitgisten:"))</f>
        <v>Suikergift blijft dezelfde: </v>
      </c>
      <c r="J52" s="304">
        <f>IF(Eindcijfer="","",IF(adviessuiker-nietvergist&lt;0,"GEEN",suikergift-nietvergist))</f>
        <v>5</v>
      </c>
      <c r="K52" s="305"/>
      <c r="L52" s="306" t="s">
        <v>145</v>
      </c>
      <c r="M52" s="307">
        <f>IF(Eindcijfer="","",IF(adviessuiker-nietvergist&lt;0,"",(suikergift-nietvergist)*Bekomenliter))</f>
        <v>30</v>
      </c>
      <c r="N52" s="2"/>
      <c r="O52" s="2"/>
      <c r="P52" s="290"/>
      <c r="Q52" s="249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"/>
      <c r="AD52" s="2"/>
      <c r="AE52" s="2"/>
    </row>
    <row r="53" spans="1:43" s="14" customFormat="1" ht="12" customHeight="1">
      <c r="A53" s="308" t="s">
        <v>146</v>
      </c>
      <c r="B53" s="309">
        <f>IF(ISNUMBER(alconalager),alconalager+(adviessuiker/16.5/100),"")</f>
        <v>0.08659315882482263</v>
      </c>
      <c r="C53" s="310"/>
      <c r="D53" s="311" t="s">
        <v>147</v>
      </c>
      <c r="E53" s="537">
        <f>IF($B$53="","",IF(botdatum="","",IF($B$53*100&lt;5,((($B$53*100)-5)*30)+215+botdatum,((($B$53*100)-5)*130)+215+botdatum)))</f>
        <v>42334.711064722695</v>
      </c>
      <c r="F53" s="537"/>
      <c r="G53" s="312" t="s">
        <v>148</v>
      </c>
      <c r="H53" s="312"/>
      <c r="I53" s="313"/>
      <c r="J53" s="313"/>
      <c r="K53" s="313"/>
      <c r="L53" s="313"/>
      <c r="M53" s="314"/>
      <c r="N53" s="315"/>
      <c r="O53" s="315"/>
      <c r="P53" s="290"/>
      <c r="Q53" s="249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6" t="s">
        <v>149</v>
      </c>
      <c r="B54" s="317"/>
      <c r="C54" s="317"/>
      <c r="D54" s="317"/>
      <c r="E54" s="460">
        <f>IF(moutkilos=0,"",moutkilos+mashwater)</f>
        <v>10.232007299270073</v>
      </c>
      <c r="F54" s="318" t="s">
        <v>694</v>
      </c>
      <c r="H54" s="319"/>
      <c r="I54" s="319"/>
      <c r="J54" s="319"/>
      <c r="K54" s="319"/>
      <c r="L54" s="319"/>
      <c r="M54" s="319"/>
      <c r="N54" s="315"/>
      <c r="O54" s="315"/>
      <c r="P54" s="290"/>
      <c r="Q54" s="249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0" t="s">
        <v>150</v>
      </c>
      <c r="B55" s="321">
        <f>(INT(160*Starter/10))*10</f>
        <v>100</v>
      </c>
      <c r="C55" s="322" t="s">
        <v>151</v>
      </c>
      <c r="D55" s="323">
        <f>INT(Starter*totplato/4)</f>
        <v>3</v>
      </c>
      <c r="E55" s="14" t="s">
        <v>152</v>
      </c>
      <c r="F55" s="324"/>
      <c r="G55" s="325">
        <f>Starter*1.05</f>
        <v>0.7046634451389264</v>
      </c>
      <c r="H55" s="319" t="s">
        <v>153</v>
      </c>
      <c r="I55" s="319"/>
      <c r="J55" s="319"/>
      <c r="K55" s="319"/>
      <c r="L55" s="319"/>
      <c r="M55" s="319"/>
      <c r="N55" s="315"/>
      <c r="O55" s="315"/>
      <c r="P55" s="290"/>
      <c r="Q55" s="249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0" t="s">
        <v>154</v>
      </c>
      <c r="B56" s="326">
        <f>Gewenste_liters/23*totplato</f>
        <v>7.878224852484892</v>
      </c>
      <c r="C56" s="21" t="s">
        <v>155</v>
      </c>
      <c r="D56" s="319"/>
      <c r="E56" s="319"/>
      <c r="F56" s="319"/>
      <c r="G56" s="319"/>
      <c r="H56" s="319"/>
      <c r="I56" s="455" t="s">
        <v>695</v>
      </c>
      <c r="K56" s="319"/>
      <c r="L56" s="319"/>
      <c r="M56" s="319"/>
      <c r="N56"/>
      <c r="O56"/>
      <c r="P56" s="290"/>
      <c r="Q56" s="249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4" t="s">
        <v>699</v>
      </c>
      <c r="B57" s="507">
        <v>5.7</v>
      </c>
      <c r="C57" s="283"/>
      <c r="D57" s="130" t="s">
        <v>697</v>
      </c>
      <c r="E57" s="538">
        <f>ROUNDDOWN(B57/0.33/24,0)</f>
        <v>0</v>
      </c>
      <c r="F57" s="539"/>
      <c r="G57" s="540">
        <f>((B57/0.33/24)-E57)*24</f>
        <v>17.272727272727273</v>
      </c>
      <c r="H57" s="541"/>
      <c r="I57" s="317"/>
      <c r="J57" s="317"/>
      <c r="K57" s="319"/>
      <c r="L57" s="319"/>
      <c r="M57" s="319"/>
      <c r="N57" s="327"/>
      <c r="O57" s="327"/>
      <c r="P57" s="290"/>
      <c r="Q57" s="249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8"/>
      <c r="C58" s="328"/>
      <c r="D58" s="457"/>
      <c r="H58" s="318"/>
      <c r="I58" s="318"/>
      <c r="J58" s="318"/>
      <c r="L58" s="329"/>
      <c r="M58" s="458"/>
      <c r="N58" s="290"/>
      <c r="O58" s="327"/>
      <c r="P58" s="290"/>
      <c r="Q58" s="249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8" t="s">
        <v>156</v>
      </c>
      <c r="B59" s="318"/>
      <c r="C59" s="330"/>
      <c r="D59" s="318"/>
      <c r="E59" s="318"/>
      <c r="F59" s="318"/>
      <c r="G59" s="318"/>
      <c r="H59" s="318"/>
      <c r="I59" s="318"/>
      <c r="J59" s="318"/>
      <c r="K59" s="318"/>
      <c r="M59" s="318"/>
      <c r="N59" s="290"/>
      <c r="O59" s="327"/>
      <c r="P59" s="331"/>
      <c r="Q59" s="249"/>
      <c r="R59" s="327"/>
      <c r="S59" s="332"/>
      <c r="T59" s="332"/>
      <c r="U59" s="332"/>
      <c r="V59" s="332"/>
      <c r="W59" s="332"/>
      <c r="X59" s="332"/>
      <c r="Y59" s="250"/>
      <c r="Z59" s="250"/>
      <c r="AA59" s="250"/>
      <c r="AB59" s="250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8" t="s">
        <v>709</v>
      </c>
      <c r="B60" s="542">
        <f>botdatum</f>
        <v>41644</v>
      </c>
      <c r="C60" s="317" t="str">
        <f>CONCATENATE(A2," - ",A1," - ",ROUND(kleur,0),"EBC - ",ROUND(B41,0),"IBU - ",ROUND(VSPalcvol*100+0.5,1),"%")</f>
        <v>Recept 32 - Kauwbier v2 - 218EBC - 59IBU - 9,5%</v>
      </c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290"/>
      <c r="O60" s="327"/>
      <c r="P60" s="333"/>
      <c r="Q60" s="249"/>
      <c r="R60" s="327"/>
      <c r="S60" s="332"/>
      <c r="T60" s="332"/>
      <c r="U60" s="332"/>
      <c r="V60" s="332"/>
      <c r="W60" s="332"/>
      <c r="X60" s="332"/>
      <c r="Y60" s="250"/>
      <c r="Z60" s="250"/>
      <c r="AA60" s="250"/>
      <c r="AB60" s="250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8"/>
      <c r="B61" s="318"/>
      <c r="C61" s="318"/>
      <c r="D61" s="318"/>
      <c r="E61" s="334"/>
      <c r="F61" s="318"/>
      <c r="G61" s="334"/>
      <c r="H61" s="318"/>
      <c r="I61" s="318"/>
      <c r="J61" s="318"/>
      <c r="K61" s="318"/>
      <c r="L61" s="318"/>
      <c r="M61" s="318"/>
      <c r="N61" s="290"/>
      <c r="O61" s="327"/>
      <c r="P61" s="290"/>
      <c r="Q61" s="249"/>
      <c r="R61" s="327"/>
      <c r="S61" s="332"/>
      <c r="T61" s="332"/>
      <c r="U61" s="332"/>
      <c r="V61" s="332"/>
      <c r="W61" s="332"/>
      <c r="X61" s="332"/>
      <c r="Y61" s="250"/>
      <c r="Z61" s="250"/>
      <c r="AA61" s="250"/>
      <c r="AB61" s="250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8" t="s">
        <v>157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290"/>
      <c r="O62" s="327"/>
      <c r="P62" s="290"/>
      <c r="Q62" s="249"/>
      <c r="R62" s="327"/>
      <c r="S62" s="332"/>
      <c r="T62" s="332"/>
      <c r="U62" s="332"/>
      <c r="V62" s="332"/>
      <c r="W62" s="332"/>
      <c r="X62" s="332"/>
      <c r="Y62" s="250"/>
      <c r="Z62" s="250"/>
      <c r="AA62" s="250"/>
      <c r="AB62" s="250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8" t="s">
        <v>158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290"/>
      <c r="O63" s="327"/>
      <c r="P63" s="290"/>
      <c r="Q63" s="249"/>
      <c r="R63" s="327"/>
      <c r="S63" s="332"/>
      <c r="T63" s="332"/>
      <c r="U63" s="332"/>
      <c r="V63" s="332"/>
      <c r="W63" s="332"/>
      <c r="X63" s="332"/>
      <c r="Y63" s="250"/>
      <c r="Z63" s="250"/>
      <c r="AA63" s="250"/>
      <c r="AB63" s="250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8" t="s">
        <v>159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290"/>
      <c r="O64" s="327"/>
      <c r="P64" s="290"/>
      <c r="Q64" s="249"/>
      <c r="R64" s="327"/>
      <c r="S64" s="332"/>
      <c r="T64" s="332"/>
      <c r="U64" s="332"/>
      <c r="V64" s="332"/>
      <c r="W64" s="332"/>
      <c r="X64" s="332"/>
      <c r="Y64" s="250"/>
      <c r="Z64" s="250"/>
      <c r="AA64" s="250"/>
      <c r="AB64" s="250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8" t="s">
        <v>160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290"/>
      <c r="O65" s="327"/>
      <c r="P65" s="290"/>
      <c r="Q65" s="249"/>
      <c r="R65" s="327"/>
      <c r="S65" s="332"/>
      <c r="T65" s="332"/>
      <c r="U65" s="332"/>
      <c r="V65" s="332"/>
      <c r="W65" s="332"/>
      <c r="X65" s="332"/>
      <c r="Y65" s="250"/>
      <c r="Z65" s="250"/>
      <c r="AA65" s="250"/>
      <c r="AB65" s="250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8" t="s">
        <v>161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290"/>
      <c r="O66" s="327"/>
      <c r="P66" s="290"/>
      <c r="Q66" s="249"/>
      <c r="R66" s="327"/>
      <c r="S66" s="332"/>
      <c r="T66" s="332"/>
      <c r="U66" s="332"/>
      <c r="V66" s="332"/>
      <c r="W66" s="332"/>
      <c r="X66" s="332"/>
      <c r="Y66" s="250"/>
      <c r="Z66" s="250"/>
      <c r="AA66" s="250"/>
      <c r="AB66" s="250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8" t="s">
        <v>162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290"/>
      <c r="O67" s="327"/>
      <c r="P67" s="290"/>
      <c r="Q67" s="249"/>
      <c r="R67" s="327"/>
      <c r="S67" s="332"/>
      <c r="T67" s="332"/>
      <c r="U67" s="332"/>
      <c r="V67" s="332"/>
      <c r="W67" s="332"/>
      <c r="X67" s="332"/>
      <c r="Y67" s="250"/>
      <c r="Z67" s="250"/>
      <c r="AA67" s="250"/>
      <c r="AB67" s="250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27"/>
      <c r="O68" s="327"/>
      <c r="P68" s="327"/>
      <c r="Q68" s="249"/>
      <c r="R68" s="327"/>
      <c r="S68" s="332"/>
      <c r="T68" s="332"/>
      <c r="U68" s="332"/>
      <c r="V68" s="332"/>
      <c r="W68" s="332"/>
      <c r="X68" s="332"/>
      <c r="Y68" s="250"/>
      <c r="Z68" s="250"/>
      <c r="AA68" s="250"/>
      <c r="AB68" s="250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5" t="s">
        <v>163</v>
      </c>
      <c r="B69" s="335"/>
      <c r="C69" s="335" t="s">
        <v>164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7"/>
      <c r="Q69" s="249"/>
      <c r="R69" s="327"/>
      <c r="S69" s="332"/>
      <c r="T69" s="332"/>
      <c r="U69" s="332"/>
      <c r="V69" s="332"/>
      <c r="W69" s="332"/>
      <c r="X69" s="332"/>
      <c r="Y69" s="250"/>
      <c r="Z69" s="250"/>
      <c r="AA69" s="250"/>
      <c r="AB69" s="250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6"/>
      <c r="B70" s="335"/>
      <c r="C70" s="335"/>
      <c r="D70" s="45"/>
      <c r="E70" s="45"/>
      <c r="F70" s="45"/>
      <c r="G70" s="45"/>
      <c r="H70" s="337"/>
      <c r="I70" s="338"/>
      <c r="J70" s="338"/>
      <c r="K70" s="339"/>
      <c r="L70" s="45"/>
      <c r="M70" s="45"/>
      <c r="N70" s="45"/>
      <c r="O70" s="45"/>
      <c r="P70" s="327"/>
      <c r="Q70" s="249"/>
      <c r="R70" s="327"/>
      <c r="S70" s="332"/>
      <c r="T70" s="332"/>
      <c r="U70" s="332"/>
      <c r="V70" s="332"/>
      <c r="W70" s="332"/>
      <c r="X70" s="332"/>
      <c r="Y70" s="250"/>
      <c r="Z70" s="250"/>
      <c r="AA70" s="250"/>
      <c r="AB70" s="250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0" t="s">
        <v>165</v>
      </c>
      <c r="B71" s="45"/>
      <c r="C71" s="45"/>
      <c r="D71" s="341">
        <f>Gewenste_liters</f>
        <v>8</v>
      </c>
      <c r="E71" s="45"/>
      <c r="F71" s="45"/>
      <c r="G71" s="342" t="s">
        <v>166</v>
      </c>
      <c r="H71" s="530" t="str">
        <f>REPT(A1,1)</f>
        <v>Kauwbier v2</v>
      </c>
      <c r="I71" s="530"/>
      <c r="J71" s="530"/>
      <c r="K71" s="530"/>
      <c r="L71" s="343"/>
      <c r="M71" s="45"/>
      <c r="N71" s="45"/>
      <c r="O71" s="45"/>
      <c r="P71" s="327"/>
      <c r="Q71" s="249"/>
      <c r="R71" s="327"/>
      <c r="S71" s="332"/>
      <c r="T71" s="332"/>
      <c r="U71" s="332"/>
      <c r="V71" s="332"/>
      <c r="W71" s="332"/>
      <c r="X71" s="332"/>
      <c r="Y71" s="250"/>
      <c r="Z71" s="250"/>
      <c r="AA71" s="250"/>
      <c r="AB71" s="250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4"/>
      <c r="B72" s="344"/>
      <c r="C72" s="344"/>
      <c r="D72" s="344"/>
      <c r="E72" s="344"/>
      <c r="F72" s="344"/>
      <c r="G72" s="344"/>
      <c r="H72" s="345"/>
      <c r="I72" s="345"/>
      <c r="J72" s="345"/>
      <c r="K72" s="346"/>
      <c r="L72" s="45"/>
      <c r="M72" s="45"/>
      <c r="N72" s="45"/>
      <c r="O72" s="45"/>
      <c r="P72" s="327"/>
      <c r="Q72" s="249"/>
      <c r="R72" s="327"/>
      <c r="S72" s="332"/>
      <c r="T72" s="332"/>
      <c r="U72" s="332"/>
      <c r="V72" s="332"/>
      <c r="W72" s="332"/>
      <c r="X72" s="332"/>
      <c r="Y72" s="250"/>
      <c r="Z72" s="250"/>
      <c r="AA72" s="250"/>
      <c r="AB72" s="250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7" t="s">
        <v>167</v>
      </c>
      <c r="B73" s="348" t="str">
        <f>REPT(HoofdGist,1)</f>
        <v>Fermentis S-04 korrel</v>
      </c>
      <c r="C73" s="349"/>
      <c r="D73" s="349"/>
      <c r="E73" s="350"/>
      <c r="F73" s="347" t="s">
        <v>168</v>
      </c>
      <c r="G73" s="351">
        <f>L50</f>
        <v>0</v>
      </c>
      <c r="H73" s="345"/>
      <c r="I73" s="345"/>
      <c r="J73" s="345"/>
      <c r="K73" s="346"/>
      <c r="L73" s="337"/>
      <c r="M73" s="45"/>
      <c r="N73" s="45"/>
      <c r="O73" s="45"/>
      <c r="P73" s="327"/>
      <c r="Q73" s="249"/>
      <c r="R73" s="327"/>
      <c r="S73" s="332"/>
      <c r="T73" s="332"/>
      <c r="U73" s="332"/>
      <c r="V73" s="332"/>
      <c r="W73" s="332"/>
      <c r="X73" s="332"/>
      <c r="Y73" s="250"/>
      <c r="Z73" s="250"/>
      <c r="AA73" s="250"/>
      <c r="AB73" s="250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2" t="s">
        <v>169</v>
      </c>
      <c r="B74" s="353"/>
      <c r="C74" s="354" t="s">
        <v>170</v>
      </c>
      <c r="D74" s="355"/>
      <c r="E74" s="355"/>
      <c r="F74" s="355"/>
      <c r="G74" s="355"/>
      <c r="H74" s="355"/>
      <c r="I74" s="355"/>
      <c r="J74" s="353"/>
      <c r="K74" s="346"/>
      <c r="L74" s="45"/>
      <c r="M74" s="45"/>
      <c r="N74" s="45"/>
      <c r="O74" s="45"/>
      <c r="P74" s="327"/>
      <c r="Q74" s="249"/>
      <c r="R74" s="327"/>
      <c r="S74" s="332"/>
      <c r="T74" s="332"/>
      <c r="U74" s="332"/>
      <c r="V74" s="332"/>
      <c r="W74" s="332"/>
      <c r="X74" s="332"/>
      <c r="Y74" s="250"/>
      <c r="Z74" s="250"/>
      <c r="AA74" s="250"/>
      <c r="AB74" s="250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6" t="str">
        <f aca="true" t="shared" si="7" ref="A75:A83">IF(D6="","",REPT(A6,1))</f>
        <v>Palemout 7 </v>
      </c>
      <c r="B75" s="357">
        <f aca="true" t="shared" si="8" ref="B75:B83">IF(D6="","",D6/Gewenste_liters*$D$71)</f>
        <v>1.246</v>
      </c>
      <c r="C75" s="358" t="s">
        <v>171</v>
      </c>
      <c r="D75" s="358"/>
      <c r="E75" s="358"/>
      <c r="F75" s="359" t="s">
        <v>172</v>
      </c>
      <c r="G75" s="83" t="s">
        <v>173</v>
      </c>
      <c r="H75" s="360" t="s">
        <v>179</v>
      </c>
      <c r="I75" s="345"/>
      <c r="J75" s="361" t="s">
        <v>174</v>
      </c>
      <c r="K75" s="346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6" t="str">
        <f t="shared" si="7"/>
        <v>Munich mout 15</v>
      </c>
      <c r="B76" s="357">
        <f t="shared" si="8"/>
        <v>0.754</v>
      </c>
      <c r="C76" s="345" t="str">
        <f aca="true" t="shared" si="9" ref="C76:C82">IF(C34="","",REPT(A34,1))</f>
        <v>Northern Brewer (B)</v>
      </c>
      <c r="D76" s="345"/>
      <c r="E76" s="345"/>
      <c r="F76" s="359">
        <f>IF(ISNUMBER(G76),D34,"")</f>
        <v>10.2</v>
      </c>
      <c r="G76" s="362">
        <f>IF(C34="","",C34/Gewenste_liters*altliters)</f>
        <v>20</v>
      </c>
      <c r="H76" s="363">
        <f aca="true" t="shared" si="10" ref="H76:H81">E34</f>
        <v>0</v>
      </c>
      <c r="I76" s="345"/>
      <c r="J76" s="364">
        <f aca="true" t="shared" si="11" ref="J76:J82">IF(ISNUMBER(G76),F34,"")</f>
        <v>49.62152512073633</v>
      </c>
      <c r="K76" s="346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6" t="str">
        <f t="shared" si="7"/>
        <v>Aromamout (Amber 50)</v>
      </c>
      <c r="B77" s="357">
        <f t="shared" si="8"/>
        <v>0.2</v>
      </c>
      <c r="C77" s="345" t="str">
        <f t="shared" si="9"/>
        <v>Fuggles (A)</v>
      </c>
      <c r="D77" s="345"/>
      <c r="E77" s="345"/>
      <c r="F77" s="359">
        <f aca="true" t="shared" si="12" ref="F77:F82">IF(ISNUMBER(G77),D35,"")</f>
        <v>5.3</v>
      </c>
      <c r="G77" s="362">
        <f aca="true" t="shared" si="13" ref="G77:G82">IF(C35="","",C35/Gewenste_liters*altliters)</f>
        <v>16</v>
      </c>
      <c r="H77" s="363">
        <f t="shared" si="10"/>
        <v>60</v>
      </c>
      <c r="I77" s="345"/>
      <c r="J77" s="364">
        <f t="shared" si="11"/>
        <v>5.052257701126641</v>
      </c>
      <c r="K77" s="346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6" t="str">
        <f t="shared" si="7"/>
        <v>Weyermann Melanoidin mout</v>
      </c>
      <c r="B78" s="357">
        <f t="shared" si="8"/>
        <v>0.2</v>
      </c>
      <c r="C78" s="345" t="str">
        <f t="shared" si="9"/>
        <v>Saaz CZ  (A)</v>
      </c>
      <c r="D78" s="345"/>
      <c r="E78" s="345"/>
      <c r="F78" s="359">
        <f t="shared" si="12"/>
        <v>4.5</v>
      </c>
      <c r="G78" s="362">
        <f t="shared" si="13"/>
        <v>15.1</v>
      </c>
      <c r="H78" s="363">
        <f t="shared" si="10"/>
        <v>60</v>
      </c>
      <c r="I78" s="345"/>
      <c r="J78" s="364">
        <f t="shared" si="11"/>
        <v>4.048359797070226</v>
      </c>
      <c r="K78" s="346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6" t="str">
        <f t="shared" si="7"/>
        <v>Special B (Cara 400)</v>
      </c>
      <c r="B79" s="357">
        <f t="shared" si="8"/>
        <v>0.2</v>
      </c>
      <c r="C79" s="345">
        <f t="shared" si="9"/>
      </c>
      <c r="D79" s="345"/>
      <c r="E79" s="345"/>
      <c r="F79" s="359">
        <f t="shared" si="12"/>
      </c>
      <c r="G79" s="362">
        <f t="shared" si="13"/>
      </c>
      <c r="H79" s="363">
        <f t="shared" si="10"/>
        <v>0</v>
      </c>
      <c r="I79" s="345"/>
      <c r="J79" s="364">
        <f t="shared" si="11"/>
      </c>
      <c r="K79" s="346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6" t="str">
        <f t="shared" si="7"/>
        <v>Biscuit mout 50</v>
      </c>
      <c r="B80" s="357">
        <f t="shared" si="8"/>
        <v>0.4</v>
      </c>
      <c r="C80" s="345">
        <f t="shared" si="9"/>
      </c>
      <c r="D80" s="345"/>
      <c r="E80" s="345"/>
      <c r="F80" s="359">
        <f t="shared" si="12"/>
      </c>
      <c r="G80" s="362">
        <f t="shared" si="13"/>
      </c>
      <c r="H80" s="363">
        <f t="shared" si="10"/>
        <v>0</v>
      </c>
      <c r="I80" s="345"/>
      <c r="J80" s="364">
        <f t="shared" si="11"/>
      </c>
      <c r="K80" s="344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6" t="str">
        <f t="shared" si="7"/>
        <v>Weyermann Black ontbitterd</v>
      </c>
      <c r="B81" s="357">
        <f t="shared" si="8"/>
        <v>0.025</v>
      </c>
      <c r="C81" s="345">
        <f t="shared" si="9"/>
      </c>
      <c r="D81" s="345"/>
      <c r="E81" s="345"/>
      <c r="F81" s="359">
        <f t="shared" si="12"/>
      </c>
      <c r="G81" s="362">
        <f t="shared" si="13"/>
      </c>
      <c r="H81" s="363">
        <f t="shared" si="10"/>
        <v>0</v>
      </c>
      <c r="I81" s="345"/>
      <c r="J81" s="364">
        <f t="shared" si="11"/>
      </c>
      <c r="K81" s="344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6">
        <f t="shared" si="7"/>
      </c>
      <c r="B82" s="357">
        <f t="shared" si="8"/>
      </c>
      <c r="C82" s="345">
        <f t="shared" si="9"/>
      </c>
      <c r="E82" s="358"/>
      <c r="F82" s="359">
        <f t="shared" si="12"/>
      </c>
      <c r="G82" s="362">
        <f t="shared" si="13"/>
      </c>
      <c r="H82" s="454" t="s">
        <v>689</v>
      </c>
      <c r="I82" s="345"/>
      <c r="J82" s="364">
        <f t="shared" si="11"/>
      </c>
      <c r="K82" s="366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6">
        <f t="shared" si="7"/>
      </c>
      <c r="B83" s="357">
        <f t="shared" si="8"/>
      </c>
      <c r="C83" s="358" t="s">
        <v>175</v>
      </c>
      <c r="D83" s="365">
        <f>SUM(J76:J81)</f>
        <v>58.7221426189332</v>
      </c>
      <c r="E83" s="367"/>
      <c r="F83" s="367"/>
      <c r="G83" s="367"/>
      <c r="H83" s="366"/>
      <c r="I83" s="83" t="s">
        <v>176</v>
      </c>
      <c r="J83" s="368">
        <f>F41</f>
        <v>54.17729067870143</v>
      </c>
      <c r="K83" s="366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6">
        <f>IF(D15="","",REPT(A15,1))</f>
      </c>
      <c r="B84" s="369">
        <f>IF(D15="","",D15/Gewenste_liters*$D$71)</f>
      </c>
      <c r="C84" s="531" t="s">
        <v>177</v>
      </c>
      <c r="D84" s="531"/>
      <c r="E84" s="531"/>
      <c r="F84" s="370" t="s">
        <v>178</v>
      </c>
      <c r="G84" s="371" t="s">
        <v>89</v>
      </c>
      <c r="H84" s="371" t="s">
        <v>179</v>
      </c>
      <c r="I84" s="532" t="s">
        <v>180</v>
      </c>
      <c r="J84" s="532"/>
      <c r="K84" s="366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6">
        <f>IF(D16="","",REPT(A16,1))</f>
      </c>
      <c r="B85" s="369">
        <f>IF(D16="","",D16/Gewenste_liters*$D$71)</f>
      </c>
      <c r="C85" s="372">
        <f>IF(K33="","",REPT(G33,1))</f>
      </c>
      <c r="D85" s="373"/>
      <c r="E85" s="373"/>
      <c r="F85" s="374">
        <f>IF(G33="Kies additief","",K33/Gewenste_liters*$D$71)</f>
        <v>0</v>
      </c>
      <c r="G85" s="375" t="str">
        <f>IF(G33="Kies additief","",L33)</f>
        <v>-</v>
      </c>
      <c r="H85" s="375">
        <f>IF(M33="","",M33)</f>
      </c>
      <c r="I85" s="533">
        <f>IF(J33="","",J33)</f>
      </c>
      <c r="J85" s="533"/>
      <c r="K85" s="366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6" t="str">
        <f>IF(D17="","",REPT(A17,1))</f>
        <v>Luikse perensiroop</v>
      </c>
      <c r="B86" s="369">
        <f>IF(D17="","",D17/Gewenste_liters*$D$71)</f>
        <v>0.4</v>
      </c>
      <c r="C86" s="372">
        <f aca="true" t="shared" si="14" ref="C86:C93">IF(K34="","",REPT(G34,1))</f>
      </c>
      <c r="D86" s="373"/>
      <c r="E86" s="373"/>
      <c r="F86" s="374">
        <f aca="true" t="shared" si="15" ref="F86:F93">IF(G34="Kies additief","",K34/Gewenste_liters*$D$71)</f>
        <v>0</v>
      </c>
      <c r="G86" s="375" t="str">
        <f aca="true" t="shared" si="16" ref="G86:G93">IF(G34="Kies additief","",L34)</f>
        <v>-</v>
      </c>
      <c r="H86" s="375">
        <f aca="true" t="shared" si="17" ref="H86:H93">IF(M34="","",M34)</f>
      </c>
      <c r="I86" s="533">
        <f aca="true" t="shared" si="18" ref="I86:I93">IF(J34="","",J34)</f>
      </c>
      <c r="J86" s="533"/>
      <c r="K86" s="6"/>
      <c r="Q86" s="376"/>
      <c r="AC86" s="2"/>
      <c r="AD86" s="2"/>
      <c r="AE86" s="2"/>
    </row>
    <row r="87" spans="1:31" ht="10.5" customHeight="1">
      <c r="A87" s="356">
        <f>IF(D18="","",REPT(A18,1))</f>
      </c>
      <c r="B87" s="369">
        <f>IF(D18="","",D18/Gewenste_liters*$D$71)</f>
      </c>
      <c r="C87" s="372">
        <f t="shared" si="14"/>
      </c>
      <c r="D87" s="373"/>
      <c r="E87" s="373"/>
      <c r="F87" s="374">
        <f t="shared" si="15"/>
        <v>0</v>
      </c>
      <c r="G87" s="375" t="str">
        <f t="shared" si="16"/>
        <v>-</v>
      </c>
      <c r="H87" s="375">
        <f t="shared" si="17"/>
      </c>
      <c r="I87" s="533">
        <f t="shared" si="18"/>
      </c>
      <c r="J87" s="533"/>
      <c r="K87" s="6"/>
      <c r="Q87" s="376"/>
      <c r="AC87" s="2"/>
      <c r="AD87" s="2"/>
      <c r="AE87" s="2"/>
    </row>
    <row r="88" spans="1:31" ht="10.5" customHeight="1">
      <c r="A88" s="356">
        <f>IF(D20="","",REPT(A20,1))</f>
      </c>
      <c r="B88" s="369">
        <f>IF(D20="","",D20/Gewenste_liters*$D$71)</f>
      </c>
      <c r="C88" s="372">
        <f t="shared" si="14"/>
      </c>
      <c r="D88" s="373"/>
      <c r="E88" s="373"/>
      <c r="F88" s="374">
        <f t="shared" si="15"/>
        <v>0</v>
      </c>
      <c r="G88" s="375" t="str">
        <f t="shared" si="16"/>
        <v>-</v>
      </c>
      <c r="H88" s="375">
        <f t="shared" si="17"/>
      </c>
      <c r="I88" s="533">
        <f t="shared" si="18"/>
      </c>
      <c r="J88" s="533"/>
      <c r="K88" s="6"/>
      <c r="Q88" s="376"/>
      <c r="AC88" s="2"/>
      <c r="AD88" s="2"/>
      <c r="AE88" s="2"/>
    </row>
    <row r="89" spans="1:31" ht="10.5" customHeight="1">
      <c r="A89" s="356">
        <f>IF(D21="","",REPT(A21,1))</f>
      </c>
      <c r="B89" s="369">
        <f>IF(D21="","",D21/Gewenste_liters*$D$71)</f>
      </c>
      <c r="C89" s="372">
        <f t="shared" si="14"/>
      </c>
      <c r="D89" s="373"/>
      <c r="E89" s="373"/>
      <c r="F89" s="374">
        <f t="shared" si="15"/>
        <v>0</v>
      </c>
      <c r="G89" s="375" t="str">
        <f t="shared" si="16"/>
        <v>-</v>
      </c>
      <c r="H89" s="375">
        <f t="shared" si="17"/>
      </c>
      <c r="I89" s="533">
        <f t="shared" si="18"/>
      </c>
      <c r="J89" s="533"/>
      <c r="K89" s="6"/>
      <c r="Q89" s="376"/>
      <c r="AC89" s="2"/>
      <c r="AD89" s="2"/>
      <c r="AE89" s="2"/>
    </row>
    <row r="90" spans="1:31" ht="10.5" customHeight="1">
      <c r="A90" s="356">
        <f>IF(D22="","",REPT(A22,1))</f>
      </c>
      <c r="B90" s="377">
        <f>IF(D22="","",D22/Gewenste_liters*$D$71)</f>
      </c>
      <c r="C90" s="372">
        <f t="shared" si="14"/>
      </c>
      <c r="D90" s="373"/>
      <c r="E90" s="373"/>
      <c r="F90" s="374">
        <f t="shared" si="15"/>
        <v>0</v>
      </c>
      <c r="G90" s="375" t="str">
        <f t="shared" si="16"/>
        <v>-</v>
      </c>
      <c r="H90" s="375">
        <f t="shared" si="17"/>
      </c>
      <c r="I90" s="533">
        <f t="shared" si="18"/>
      </c>
      <c r="J90" s="533"/>
      <c r="K90" s="6"/>
      <c r="Q90" s="376"/>
      <c r="AC90" s="2"/>
      <c r="AD90" s="2"/>
      <c r="AE90" s="2"/>
    </row>
    <row r="91" spans="2:31" ht="10.5" customHeight="1">
      <c r="B91" s="377"/>
      <c r="C91" s="372">
        <f t="shared" si="14"/>
      </c>
      <c r="D91" s="373"/>
      <c r="E91" s="373"/>
      <c r="F91" s="374">
        <f t="shared" si="15"/>
        <v>0</v>
      </c>
      <c r="G91" s="375" t="str">
        <f t="shared" si="16"/>
        <v>-</v>
      </c>
      <c r="H91" s="375">
        <f t="shared" si="17"/>
      </c>
      <c r="I91" s="533">
        <f t="shared" si="18"/>
      </c>
      <c r="J91" s="533"/>
      <c r="K91" s="6"/>
      <c r="Q91" s="376"/>
      <c r="AC91" s="2"/>
      <c r="AD91" s="2"/>
      <c r="AE91" s="2"/>
    </row>
    <row r="92" spans="3:43" s="202" customFormat="1" ht="12" customHeight="1">
      <c r="C92" s="372">
        <f t="shared" si="14"/>
      </c>
      <c r="D92" s="373"/>
      <c r="E92" s="373"/>
      <c r="F92" s="374">
        <f t="shared" si="15"/>
        <v>0</v>
      </c>
      <c r="G92" s="375" t="str">
        <f t="shared" si="16"/>
        <v>-</v>
      </c>
      <c r="H92" s="375">
        <f t="shared" si="17"/>
      </c>
      <c r="I92" s="533">
        <f t="shared" si="18"/>
      </c>
      <c r="J92" s="533"/>
      <c r="K92" s="378"/>
      <c r="Q92" s="379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2" customFormat="1" ht="12" customHeight="1">
      <c r="C93" s="372">
        <f t="shared" si="14"/>
      </c>
      <c r="D93" s="373"/>
      <c r="E93" s="373"/>
      <c r="F93" s="374">
        <f t="shared" si="15"/>
        <v>0</v>
      </c>
      <c r="G93" s="375" t="str">
        <f t="shared" si="16"/>
        <v>-</v>
      </c>
      <c r="H93" s="375">
        <f t="shared" si="17"/>
      </c>
      <c r="I93" s="533">
        <f t="shared" si="18"/>
      </c>
      <c r="J93" s="533"/>
      <c r="K93" s="378"/>
      <c r="Q93" s="379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2" customFormat="1" ht="15.75" customHeight="1">
      <c r="A94" s="380"/>
      <c r="B94" s="381"/>
      <c r="C94" s="382" t="s">
        <v>181</v>
      </c>
      <c r="D94" s="302"/>
      <c r="E94" s="302"/>
      <c r="F94" s="302"/>
      <c r="G94" s="302"/>
      <c r="H94" s="302"/>
      <c r="I94" s="302"/>
      <c r="J94" s="383"/>
      <c r="K94" s="378"/>
      <c r="Q94" s="379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4" t="s">
        <v>182</v>
      </c>
      <c r="B95" s="385">
        <f>moutkilos*mashfactor*D71/Gewenste_liters</f>
        <v>7.065693430656935</v>
      </c>
      <c r="C95" s="353"/>
      <c r="D95" s="386" t="s">
        <v>183</v>
      </c>
      <c r="E95" s="355"/>
      <c r="F95" s="355"/>
      <c r="G95" s="355"/>
      <c r="H95" s="355"/>
      <c r="I95" s="355"/>
      <c r="J95" s="387">
        <f>G42</f>
        <v>20</v>
      </c>
      <c r="K95" s="344"/>
      <c r="Q95" s="178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8" t="s">
        <v>184</v>
      </c>
      <c r="B96" s="389">
        <f>IF(mashplato=0,0,(totaalvolume*D71/Gewenste_liters)-(mashwater*D71/Gewenste_liters))</f>
        <v>7.0308068375275665</v>
      </c>
      <c r="C96" s="346"/>
      <c r="D96" s="390" t="s">
        <v>185</v>
      </c>
      <c r="E96" s="345"/>
      <c r="F96" s="345"/>
      <c r="G96" s="345"/>
      <c r="H96" s="345"/>
      <c r="I96" s="345"/>
      <c r="J96" s="391">
        <f>MaischSG</f>
        <v>1084.5242430577339</v>
      </c>
      <c r="K96" s="344"/>
      <c r="Q96" s="178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2" t="s">
        <v>186</v>
      </c>
      <c r="B97" s="393">
        <f>Kooktijd</f>
        <v>70</v>
      </c>
      <c r="C97" s="346"/>
      <c r="D97" s="390" t="s">
        <v>187</v>
      </c>
      <c r="E97" s="345"/>
      <c r="F97" s="345"/>
      <c r="G97" s="345"/>
      <c r="H97" s="345"/>
      <c r="I97" s="345"/>
      <c r="J97" s="391">
        <f>J14</f>
        <v>1008.9817407311741</v>
      </c>
      <c r="K97" s="344"/>
      <c r="Q97" s="178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8" t="s">
        <v>188</v>
      </c>
      <c r="B98" s="394">
        <f>kleur</f>
        <v>217.573266026028</v>
      </c>
      <c r="C98" s="346"/>
      <c r="D98" s="390" t="s">
        <v>189</v>
      </c>
      <c r="E98" s="345"/>
      <c r="F98" s="345"/>
      <c r="G98" s="345"/>
      <c r="H98" s="345"/>
      <c r="I98" s="345"/>
      <c r="J98" s="395">
        <f>StamwortSG</f>
        <v>1094.8971817271486</v>
      </c>
      <c r="K98" s="344"/>
      <c r="Q98" s="178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8" t="s">
        <v>190</v>
      </c>
      <c r="B99" s="348" t="str">
        <f>IF(Aardbier=1,"éénstapsmaisch 90'66°",IF(Aardbier="D","Droog",IF(Aardbier="M","Medium, normaal","Zacht, zoetig")))</f>
        <v>Zacht, zoetig</v>
      </c>
      <c r="C99" s="346"/>
      <c r="D99" s="390" t="s">
        <v>191</v>
      </c>
      <c r="E99" s="345"/>
      <c r="F99" s="345"/>
      <c r="G99" s="345"/>
      <c r="H99" s="345"/>
      <c r="I99" s="345"/>
      <c r="J99" s="396">
        <f>voorsp_eindSG</f>
        <v>1027.8088397709246</v>
      </c>
      <c r="K99" s="344"/>
      <c r="Q99" s="178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2" t="s">
        <v>192</v>
      </c>
      <c r="B100" s="345" t="str">
        <f>IF(Eiwitrust="J","JA","NEEN")</f>
        <v>NEEN</v>
      </c>
      <c r="C100" s="397"/>
      <c r="D100" s="390" t="s">
        <v>193</v>
      </c>
      <c r="E100" s="345"/>
      <c r="F100" s="345"/>
      <c r="G100" s="345"/>
      <c r="H100" s="345"/>
      <c r="I100" s="345"/>
      <c r="J100" s="398">
        <f>VSPalcvol</f>
        <v>0.09014086533600134</v>
      </c>
      <c r="Q100" s="178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2" t="s">
        <v>194</v>
      </c>
      <c r="B101" s="399">
        <f>$B$55/Gewenste_liters*altliters</f>
        <v>100</v>
      </c>
      <c r="C101" s="345" t="s">
        <v>195</v>
      </c>
      <c r="D101" s="356"/>
      <c r="E101" s="345"/>
      <c r="F101" s="345"/>
      <c r="G101" s="345"/>
      <c r="H101" s="345"/>
      <c r="I101" s="345"/>
      <c r="J101" s="400"/>
      <c r="K101" s="346"/>
      <c r="Q101" s="178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2" customFormat="1" ht="13.5">
      <c r="A102" s="401"/>
      <c r="B102" s="402">
        <f>$G$55/Gewenste_liters*altliters</f>
        <v>0.7046634451389264</v>
      </c>
      <c r="C102" s="345" t="s">
        <v>196</v>
      </c>
      <c r="D102" s="403"/>
      <c r="E102" s="404"/>
      <c r="F102" s="404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4"/>
      <c r="H102" s="404"/>
      <c r="I102" s="404"/>
      <c r="J102" s="346"/>
      <c r="K102" s="346"/>
      <c r="Q102" s="379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5"/>
      <c r="B103" s="406">
        <f>D55/Gewenste_liters*altliters</f>
        <v>3</v>
      </c>
      <c r="C103" s="367" t="s">
        <v>197</v>
      </c>
      <c r="D103" s="407"/>
      <c r="E103" s="302"/>
      <c r="F103" s="302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2"/>
      <c r="H103" s="302"/>
      <c r="I103" s="408"/>
      <c r="J103" s="409"/>
      <c r="K103" s="410"/>
      <c r="Q103" s="376"/>
      <c r="AC103" s="2"/>
      <c r="AD103" s="2"/>
      <c r="AE103" s="2"/>
    </row>
    <row r="104" spans="1:31" ht="13.5">
      <c r="A104" s="302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2"/>
      <c r="J104" s="302"/>
      <c r="K104" s="383"/>
      <c r="Q104" s="376"/>
      <c r="AC104" s="2"/>
      <c r="AD104" s="2"/>
      <c r="AE104" s="2"/>
    </row>
    <row r="105" spans="6:31" ht="13.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6"/>
      <c r="AC105" s="2"/>
      <c r="AD105" s="2"/>
      <c r="AE105" s="2"/>
    </row>
    <row r="106" spans="6:31" ht="13.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6"/>
      <c r="AC106" s="2"/>
      <c r="AD106" s="2"/>
      <c r="AE106" s="2"/>
    </row>
    <row r="107" spans="6:31" ht="13.5">
      <c r="F107" s="1" t="str">
        <f>IF(C107=0,"  ",C107*D107*10/Gewenste_liters)</f>
        <v>  </v>
      </c>
      <c r="Q107" s="376"/>
      <c r="AC107" s="2"/>
      <c r="AD107" s="2"/>
      <c r="AE107" s="2"/>
    </row>
    <row r="108" spans="17:31" ht="13.5">
      <c r="Q108" s="376"/>
      <c r="AC108" s="2"/>
      <c r="AD108" s="2"/>
      <c r="AE108" s="2"/>
    </row>
    <row r="109" ht="13.5">
      <c r="Q109" s="376"/>
    </row>
    <row r="110" ht="13.5">
      <c r="Q110" s="376"/>
    </row>
    <row r="111" ht="13.5">
      <c r="Q111" s="376"/>
    </row>
    <row r="112" ht="13.5">
      <c r="Q112" s="376"/>
    </row>
    <row r="113" ht="13.5">
      <c r="Q113" s="376"/>
    </row>
    <row r="114" ht="13.5">
      <c r="Q114" s="376"/>
    </row>
    <row r="115" ht="13.5">
      <c r="Q115" s="376"/>
    </row>
    <row r="116" ht="13.5">
      <c r="Q116" s="376"/>
    </row>
    <row r="117" ht="13.5">
      <c r="Q117" s="376"/>
    </row>
    <row r="118" ht="13.5">
      <c r="Q118" s="376"/>
    </row>
    <row r="119" ht="13.5">
      <c r="Q119" s="376"/>
    </row>
    <row r="120" ht="13.5">
      <c r="Q120" s="376"/>
    </row>
    <row r="121" ht="13.5">
      <c r="Q121" s="376"/>
    </row>
    <row r="122" ht="13.5">
      <c r="Q122" s="376"/>
    </row>
    <row r="123" ht="13.5">
      <c r="Q123" s="376"/>
    </row>
    <row r="124" ht="13.5">
      <c r="Q124" s="376"/>
    </row>
    <row r="125" ht="13.5">
      <c r="Q125" s="376"/>
    </row>
    <row r="126" ht="13.5">
      <c r="Q126" s="376"/>
    </row>
    <row r="127" ht="13.5">
      <c r="Q127" s="376"/>
    </row>
    <row r="128" ht="13.5">
      <c r="Q128" s="376"/>
    </row>
    <row r="129" ht="13.5">
      <c r="Q129" s="376"/>
    </row>
    <row r="130" ht="13.5">
      <c r="Q130" s="376"/>
    </row>
    <row r="131" ht="13.5">
      <c r="Q131" s="376"/>
    </row>
    <row r="132" ht="13.5">
      <c r="Q132" s="376"/>
    </row>
    <row r="133" ht="13.5">
      <c r="Q133" s="376"/>
    </row>
    <row r="134" ht="13.5">
      <c r="Q134" s="376"/>
    </row>
    <row r="135" ht="13.5">
      <c r="Q135" s="376"/>
    </row>
    <row r="136" ht="13.5">
      <c r="Q136" s="376"/>
    </row>
    <row r="137" ht="13.5">
      <c r="Q137" s="376"/>
    </row>
    <row r="138" ht="13.5">
      <c r="Q138" s="376"/>
    </row>
    <row r="139" ht="13.5">
      <c r="Q139" s="376"/>
    </row>
    <row r="140" ht="13.5">
      <c r="Q140" s="376"/>
    </row>
    <row r="141" ht="13.5">
      <c r="Q141" s="376"/>
    </row>
    <row r="142" ht="13.5">
      <c r="Q142" s="376"/>
    </row>
    <row r="143" ht="13.5">
      <c r="Q143" s="376"/>
    </row>
    <row r="144" ht="13.5">
      <c r="Q144" s="376"/>
    </row>
    <row r="145" ht="13.5">
      <c r="Q145" s="376"/>
    </row>
    <row r="146" ht="13.5">
      <c r="Q146" s="376"/>
    </row>
    <row r="147" ht="13.5">
      <c r="Q147" s="376"/>
    </row>
    <row r="148" ht="13.5">
      <c r="Q148" s="376"/>
    </row>
    <row r="149" ht="13.5">
      <c r="Q149" s="376"/>
    </row>
    <row r="150" ht="13.5">
      <c r="Q150" s="376"/>
    </row>
    <row r="151" ht="13.5">
      <c r="Q151" s="376"/>
    </row>
    <row r="152" ht="13.5">
      <c r="Q152" s="376"/>
    </row>
    <row r="153" ht="13.5">
      <c r="Q153" s="376"/>
    </row>
    <row r="154" ht="13.5">
      <c r="Q154" s="376"/>
    </row>
    <row r="155" ht="13.5">
      <c r="Q155" s="376"/>
    </row>
    <row r="156" ht="13.5">
      <c r="Q156" s="376"/>
    </row>
    <row r="157" ht="13.5">
      <c r="Q157" s="376"/>
    </row>
    <row r="158" ht="13.5">
      <c r="Q158" s="376"/>
    </row>
    <row r="159" ht="13.5">
      <c r="Q159" s="376"/>
    </row>
    <row r="160" ht="13.5">
      <c r="Q160" s="376"/>
    </row>
    <row r="161" ht="13.5">
      <c r="Q161" s="376"/>
    </row>
    <row r="162" ht="13.5">
      <c r="Q162" s="376"/>
    </row>
    <row r="163" ht="13.5">
      <c r="Q163" s="376"/>
    </row>
    <row r="164" ht="13.5">
      <c r="Q164" s="376"/>
    </row>
    <row r="165" ht="13.5">
      <c r="Q165" s="376"/>
    </row>
    <row r="166" ht="13.5">
      <c r="Q166" s="376"/>
    </row>
    <row r="167" ht="13.5">
      <c r="Q167" s="376"/>
    </row>
    <row r="168" ht="13.5">
      <c r="Q168" s="376"/>
    </row>
    <row r="169" ht="13.5">
      <c r="Q169" s="376"/>
    </row>
    <row r="170" ht="13.5">
      <c r="Q170" s="376"/>
    </row>
    <row r="171" ht="13.5">
      <c r="Q171" s="376"/>
    </row>
    <row r="172" ht="13.5">
      <c r="Q172" s="376"/>
    </row>
    <row r="173" ht="13.5">
      <c r="Q173" s="376"/>
    </row>
    <row r="174" ht="13.5">
      <c r="Q174" s="376"/>
    </row>
    <row r="175" ht="13.5">
      <c r="Q175" s="376"/>
    </row>
    <row r="176" ht="13.5">
      <c r="Q176" s="376"/>
    </row>
    <row r="177" ht="13.5">
      <c r="Q177" s="376"/>
    </row>
    <row r="178" ht="13.5">
      <c r="Q178" s="376"/>
    </row>
    <row r="179" ht="13.5">
      <c r="Q179" s="376"/>
    </row>
    <row r="180" ht="13.5">
      <c r="Q180" s="376"/>
    </row>
    <row r="181" ht="13.5">
      <c r="Q181" s="376"/>
    </row>
    <row r="182" ht="13.5">
      <c r="Q182" s="376"/>
    </row>
    <row r="183" ht="13.5">
      <c r="Q183" s="376"/>
    </row>
    <row r="184" ht="13.5">
      <c r="Q184" s="376"/>
    </row>
    <row r="185" ht="13.5">
      <c r="Q185" s="376"/>
    </row>
    <row r="186" ht="13.5">
      <c r="Q186" s="376"/>
    </row>
    <row r="187" ht="13.5">
      <c r="Q187" s="376"/>
    </row>
    <row r="188" ht="13.5">
      <c r="Q188" s="376"/>
    </row>
    <row r="189" ht="13.5">
      <c r="Q189" s="376"/>
    </row>
    <row r="190" ht="13.5">
      <c r="Q190" s="376"/>
    </row>
    <row r="191" ht="13.5">
      <c r="Q191" s="376"/>
    </row>
    <row r="192" ht="13.5">
      <c r="Q192" s="376"/>
    </row>
    <row r="193" ht="13.5">
      <c r="Q193" s="376"/>
    </row>
    <row r="194" ht="13.5">
      <c r="Q194" s="376"/>
    </row>
    <row r="195" ht="13.5">
      <c r="Q195" s="376"/>
    </row>
    <row r="196" ht="13.5">
      <c r="Q196" s="376"/>
    </row>
    <row r="197" ht="13.5">
      <c r="Q197" s="376"/>
    </row>
    <row r="198" ht="13.5">
      <c r="Q198" s="376"/>
    </row>
    <row r="199" ht="13.5">
      <c r="Q199" s="376"/>
    </row>
    <row r="200" ht="13.5">
      <c r="Q200" s="376"/>
    </row>
    <row r="201" ht="13.5">
      <c r="Q201" s="376"/>
    </row>
    <row r="202" ht="13.5">
      <c r="Q202" s="376"/>
    </row>
    <row r="203" ht="13.5">
      <c r="Q203" s="376"/>
    </row>
    <row r="204" ht="13.5">
      <c r="Q204" s="376"/>
    </row>
    <row r="205" ht="13.5">
      <c r="Q205" s="376"/>
    </row>
    <row r="206" ht="13.5">
      <c r="Q206" s="376"/>
    </row>
    <row r="207" ht="13.5">
      <c r="Q207" s="376"/>
    </row>
    <row r="208" ht="13.5">
      <c r="Q208" s="376"/>
    </row>
    <row r="209" ht="13.5">
      <c r="Q209" s="376"/>
    </row>
    <row r="210" ht="13.5">
      <c r="Q210" s="376"/>
    </row>
    <row r="211" ht="13.5">
      <c r="Q211" s="376"/>
    </row>
    <row r="212" ht="13.5">
      <c r="Q212" s="376"/>
    </row>
    <row r="213" ht="13.5">
      <c r="Q213" s="376"/>
    </row>
    <row r="214" ht="13.5">
      <c r="Q214" s="376"/>
    </row>
    <row r="215" ht="13.5">
      <c r="Q215" s="376"/>
    </row>
    <row r="216" ht="13.5">
      <c r="Q216" s="376"/>
    </row>
    <row r="217" ht="13.5">
      <c r="Q217" s="376"/>
    </row>
    <row r="218" ht="13.5">
      <c r="Q218" s="376"/>
    </row>
    <row r="219" ht="13.5">
      <c r="Q219" s="376"/>
    </row>
    <row r="220" ht="13.5">
      <c r="Q220" s="376"/>
    </row>
    <row r="221" ht="13.5">
      <c r="Q221" s="376"/>
    </row>
    <row r="222" ht="13.5">
      <c r="Q222" s="376"/>
    </row>
    <row r="223" ht="13.5">
      <c r="Q223" s="376"/>
    </row>
    <row r="224" ht="13.5">
      <c r="Q224" s="376"/>
    </row>
    <row r="225" ht="13.5">
      <c r="Q225" s="376"/>
    </row>
    <row r="226" ht="13.5">
      <c r="Q226" s="376"/>
    </row>
    <row r="227" ht="13.5">
      <c r="Q227" s="376"/>
    </row>
    <row r="228" ht="13.5">
      <c r="Q228" s="376"/>
    </row>
    <row r="229" ht="13.5">
      <c r="Q229" s="376"/>
    </row>
    <row r="230" ht="13.5">
      <c r="Q230" s="376"/>
    </row>
    <row r="231" ht="13.5">
      <c r="Q231" s="376"/>
    </row>
    <row r="232" ht="13.5">
      <c r="Q232" s="376"/>
    </row>
    <row r="233" ht="13.5">
      <c r="Q233" s="376"/>
    </row>
    <row r="234" ht="13.5">
      <c r="Q234" s="376"/>
    </row>
    <row r="235" ht="13.5">
      <c r="Q235" s="376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 B57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25" right="0.25" top="0.75" bottom="0.75" header="0.3" footer="0.3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3.57421875" style="0" customWidth="1"/>
    <col min="2" max="2" width="5.8515625" style="411" customWidth="1"/>
    <col min="3" max="3" width="5.8515625" style="412" customWidth="1"/>
    <col min="4" max="4" width="5.28125" style="411" customWidth="1"/>
    <col min="5" max="5" width="5.28125" style="413" customWidth="1"/>
    <col min="6" max="6" width="4.421875" style="411" customWidth="1"/>
    <col min="7" max="7" width="0.85546875" style="414" customWidth="1"/>
    <col min="8" max="8" width="34.00390625" style="415" customWidth="1"/>
    <col min="9" max="9" width="6.00390625" style="416" customWidth="1"/>
    <col min="10" max="10" width="6.7109375" style="416" customWidth="1"/>
    <col min="11" max="11" width="1.1484375" style="414" customWidth="1"/>
    <col min="12" max="12" width="31.140625" style="415" customWidth="1"/>
    <col min="13" max="13" width="7.140625" style="411" customWidth="1"/>
    <col min="14" max="14" width="5.8515625" style="411" customWidth="1"/>
    <col min="15" max="15" width="1.1484375" style="414" customWidth="1"/>
    <col min="16" max="16" width="31.8515625" style="417" customWidth="1"/>
    <col min="17" max="17" width="5.57421875" style="418" customWidth="1"/>
    <col min="18" max="18" width="67.7109375" style="417" customWidth="1"/>
    <col min="19" max="19" width="34.7109375" style="417" customWidth="1"/>
    <col min="20" max="20" width="29.28125" style="417" customWidth="1"/>
    <col min="21" max="21" width="1.421875" style="414" customWidth="1"/>
    <col min="22" max="22" width="31.140625" style="415" customWidth="1"/>
    <col min="23" max="23" width="4.8515625" style="411" customWidth="1"/>
    <col min="24" max="24" width="6.57421875" style="411" customWidth="1"/>
    <col min="25" max="25" width="6.7109375" style="411" customWidth="1"/>
    <col min="26" max="26" width="92.7109375" style="415" customWidth="1"/>
    <col min="27" max="27" width="0.9921875" style="414" customWidth="1"/>
    <col min="28" max="28" width="24.140625" style="415" customWidth="1"/>
    <col min="29" max="29" width="5.421875" style="411" customWidth="1"/>
    <col min="30" max="30" width="58.57421875" style="415" customWidth="1"/>
    <col min="31" max="31" width="0.9921875" style="414" customWidth="1"/>
  </cols>
  <sheetData>
    <row r="1" spans="1:31" s="419" customFormat="1" ht="22.5" customHeight="1">
      <c r="A1" s="419" t="s">
        <v>198</v>
      </c>
      <c r="B1" s="420"/>
      <c r="C1" s="421"/>
      <c r="D1" s="420"/>
      <c r="E1" s="422"/>
      <c r="F1" s="420"/>
      <c r="G1" s="423"/>
      <c r="H1" s="424" t="s">
        <v>199</v>
      </c>
      <c r="I1" s="425"/>
      <c r="J1" s="425"/>
      <c r="K1" s="423"/>
      <c r="L1" s="424" t="s">
        <v>200</v>
      </c>
      <c r="M1" s="420"/>
      <c r="N1" s="420"/>
      <c r="O1" s="423"/>
      <c r="P1" s="426" t="s">
        <v>201</v>
      </c>
      <c r="Q1" s="427"/>
      <c r="R1" s="428"/>
      <c r="S1" s="426"/>
      <c r="T1" s="426"/>
      <c r="U1" s="423"/>
      <c r="V1" s="424" t="s">
        <v>202</v>
      </c>
      <c r="W1" s="420"/>
      <c r="X1" s="420"/>
      <c r="Y1" s="420"/>
      <c r="Z1" s="424"/>
      <c r="AA1" s="423"/>
      <c r="AB1" s="424" t="s">
        <v>203</v>
      </c>
      <c r="AC1" s="420"/>
      <c r="AD1" s="424"/>
      <c r="AE1" s="423"/>
    </row>
    <row r="2" spans="1:31" s="433" customFormat="1" ht="52.5" customHeight="1">
      <c r="A2" s="429" t="s">
        <v>204</v>
      </c>
      <c r="B2" s="430" t="s">
        <v>205</v>
      </c>
      <c r="C2" s="431" t="s">
        <v>206</v>
      </c>
      <c r="D2" s="430" t="s">
        <v>207</v>
      </c>
      <c r="E2" s="429" t="s">
        <v>208</v>
      </c>
      <c r="F2" s="430" t="s">
        <v>209</v>
      </c>
      <c r="G2" s="432"/>
      <c r="H2" s="433" t="s">
        <v>204</v>
      </c>
      <c r="I2" s="434" t="s">
        <v>210</v>
      </c>
      <c r="J2" s="434" t="s">
        <v>211</v>
      </c>
      <c r="K2" s="432"/>
      <c r="L2" s="433" t="s">
        <v>204</v>
      </c>
      <c r="M2" s="430" t="s">
        <v>210</v>
      </c>
      <c r="N2" s="430" t="s">
        <v>211</v>
      </c>
      <c r="O2" s="432"/>
      <c r="P2" s="430" t="s">
        <v>212</v>
      </c>
      <c r="Q2" s="433" t="s">
        <v>213</v>
      </c>
      <c r="R2" s="430" t="s">
        <v>214</v>
      </c>
      <c r="S2" s="430" t="s">
        <v>215</v>
      </c>
      <c r="T2" s="430" t="s">
        <v>216</v>
      </c>
      <c r="U2" s="432"/>
      <c r="V2" s="433" t="s">
        <v>204</v>
      </c>
      <c r="W2" s="430" t="s">
        <v>217</v>
      </c>
      <c r="X2" s="430" t="s">
        <v>218</v>
      </c>
      <c r="Y2" s="430" t="s">
        <v>219</v>
      </c>
      <c r="Z2" s="433" t="s">
        <v>220</v>
      </c>
      <c r="AA2" s="432"/>
      <c r="AB2" s="433" t="s">
        <v>204</v>
      </c>
      <c r="AC2" s="430" t="s">
        <v>89</v>
      </c>
      <c r="AD2" s="433" t="s">
        <v>221</v>
      </c>
      <c r="AE2" s="432"/>
    </row>
    <row r="3" spans="1:30" ht="12.75">
      <c r="A3" t="s">
        <v>222</v>
      </c>
      <c r="B3" s="411">
        <v>16</v>
      </c>
      <c r="C3" s="412">
        <f>IF(ISNUMBER(B3),(1+(B3/(258.6-0.87955*B3)))*1000,"")</f>
        <v>1065.432393615107</v>
      </c>
      <c r="D3" s="411">
        <v>6.8</v>
      </c>
      <c r="E3" s="413">
        <v>14</v>
      </c>
      <c r="F3" s="411">
        <v>24</v>
      </c>
      <c r="H3" s="435" t="s">
        <v>31</v>
      </c>
      <c r="I3" s="436"/>
      <c r="J3" s="436"/>
      <c r="L3" s="435" t="s">
        <v>50</v>
      </c>
      <c r="M3" s="437"/>
      <c r="N3" s="437"/>
      <c r="P3" s="438" t="s">
        <v>100</v>
      </c>
      <c r="Q3" s="439"/>
      <c r="R3" s="440"/>
      <c r="S3" s="440"/>
      <c r="T3" s="440"/>
      <c r="V3" s="435" t="s">
        <v>223</v>
      </c>
      <c r="W3" s="437">
        <v>73</v>
      </c>
      <c r="X3" s="437">
        <v>106</v>
      </c>
      <c r="Y3" s="437">
        <v>20</v>
      </c>
      <c r="Z3" s="435" t="s">
        <v>224</v>
      </c>
      <c r="AB3" s="435" t="s">
        <v>98</v>
      </c>
      <c r="AC3" s="437" t="s">
        <v>225</v>
      </c>
      <c r="AD3" s="435" t="s">
        <v>225</v>
      </c>
    </row>
    <row r="4" spans="1:30" ht="12.75">
      <c r="A4" t="s">
        <v>226</v>
      </c>
      <c r="B4" s="411">
        <v>18.4</v>
      </c>
      <c r="C4" s="412">
        <f aca="true" t="shared" si="0" ref="C4:C56">IF(ISNUMBER(B4),(1+(B4/(258.6-0.87955*B4)))*1000,"")</f>
        <v>1075.902493017383</v>
      </c>
      <c r="D4" s="411">
        <v>8.3</v>
      </c>
      <c r="E4" s="413">
        <v>13</v>
      </c>
      <c r="F4" s="411">
        <v>31</v>
      </c>
      <c r="H4" s="435" t="s">
        <v>227</v>
      </c>
      <c r="I4" s="436">
        <v>80.07</v>
      </c>
      <c r="J4" s="436">
        <v>3</v>
      </c>
      <c r="L4" s="435" t="s">
        <v>228</v>
      </c>
      <c r="M4" s="437">
        <v>90.89</v>
      </c>
      <c r="N4" s="437">
        <v>30</v>
      </c>
      <c r="P4" s="440" t="s">
        <v>229</v>
      </c>
      <c r="Q4" s="439">
        <v>14</v>
      </c>
      <c r="R4" s="440" t="s">
        <v>230</v>
      </c>
      <c r="S4" s="440" t="s">
        <v>231</v>
      </c>
      <c r="T4" s="440" t="s">
        <v>232</v>
      </c>
      <c r="V4" s="435" t="s">
        <v>233</v>
      </c>
      <c r="W4" s="437">
        <v>71</v>
      </c>
      <c r="X4" s="437">
        <v>107</v>
      </c>
      <c r="Y4" s="437">
        <v>20</v>
      </c>
      <c r="Z4" s="435" t="s">
        <v>234</v>
      </c>
      <c r="AB4" s="435" t="s">
        <v>235</v>
      </c>
      <c r="AC4" s="437" t="s">
        <v>236</v>
      </c>
      <c r="AD4" s="435" t="s">
        <v>237</v>
      </c>
    </row>
    <row r="5" spans="1:30" ht="12.75">
      <c r="A5" t="s">
        <v>238</v>
      </c>
      <c r="B5" s="411">
        <v>14.5</v>
      </c>
      <c r="C5" s="412">
        <f t="shared" si="0"/>
        <v>1058.9798859267992</v>
      </c>
      <c r="D5" s="411">
        <v>6.4</v>
      </c>
      <c r="E5" s="413">
        <v>18</v>
      </c>
      <c r="F5" s="411">
        <v>31</v>
      </c>
      <c r="H5" s="435" t="s">
        <v>239</v>
      </c>
      <c r="I5" s="436">
        <v>83</v>
      </c>
      <c r="J5" s="436">
        <v>2.7</v>
      </c>
      <c r="L5" s="435" t="s">
        <v>240</v>
      </c>
      <c r="M5" s="437">
        <v>99.55</v>
      </c>
      <c r="N5" s="437">
        <v>30</v>
      </c>
      <c r="P5" s="440" t="s">
        <v>241</v>
      </c>
      <c r="Q5" s="439">
        <v>8.2</v>
      </c>
      <c r="R5" s="440" t="s">
        <v>242</v>
      </c>
      <c r="S5" s="440" t="s">
        <v>243</v>
      </c>
      <c r="T5" s="440" t="s">
        <v>244</v>
      </c>
      <c r="V5" s="435" t="s">
        <v>245</v>
      </c>
      <c r="W5" s="437">
        <v>68</v>
      </c>
      <c r="X5" s="437">
        <v>106</v>
      </c>
      <c r="Y5" s="437">
        <v>20</v>
      </c>
      <c r="Z5" s="435" t="s">
        <v>246</v>
      </c>
      <c r="AB5" s="435" t="s">
        <v>247</v>
      </c>
      <c r="AC5" s="437" t="s">
        <v>236</v>
      </c>
      <c r="AD5" s="435" t="s">
        <v>248</v>
      </c>
    </row>
    <row r="6" spans="1:30" ht="12.75">
      <c r="A6" t="s">
        <v>249</v>
      </c>
      <c r="B6" s="411">
        <v>15.6</v>
      </c>
      <c r="C6" s="412">
        <f t="shared" si="0"/>
        <v>1063.7049266205001</v>
      </c>
      <c r="D6" s="411">
        <v>6.6</v>
      </c>
      <c r="E6" s="413">
        <v>15</v>
      </c>
      <c r="F6" s="411">
        <v>25</v>
      </c>
      <c r="H6" s="435" t="s">
        <v>250</v>
      </c>
      <c r="I6" s="436">
        <v>75</v>
      </c>
      <c r="J6" s="436">
        <v>4</v>
      </c>
      <c r="L6" s="435" t="s">
        <v>251</v>
      </c>
      <c r="M6" s="437">
        <v>99.55</v>
      </c>
      <c r="N6" s="437">
        <v>10.005021607606587</v>
      </c>
      <c r="P6" s="440" t="s">
        <v>252</v>
      </c>
      <c r="Q6" s="439">
        <v>6.4</v>
      </c>
      <c r="R6" s="440" t="s">
        <v>253</v>
      </c>
      <c r="S6" s="440" t="s">
        <v>254</v>
      </c>
      <c r="T6" s="440" t="s">
        <v>255</v>
      </c>
      <c r="V6" s="435" t="s">
        <v>138</v>
      </c>
      <c r="W6" s="437">
        <v>75</v>
      </c>
      <c r="X6" s="437">
        <v>107</v>
      </c>
      <c r="Y6" s="437" t="s">
        <v>256</v>
      </c>
      <c r="Z6" s="435" t="s">
        <v>257</v>
      </c>
      <c r="AB6" s="435" t="s">
        <v>258</v>
      </c>
      <c r="AC6" s="437" t="s">
        <v>259</v>
      </c>
      <c r="AD6" s="435" t="s">
        <v>260</v>
      </c>
    </row>
    <row r="7" spans="1:30" ht="12.75">
      <c r="A7" t="s">
        <v>261</v>
      </c>
      <c r="B7" s="411">
        <v>16.9</v>
      </c>
      <c r="C7" s="412">
        <f t="shared" si="0"/>
        <v>1069.3374281529364</v>
      </c>
      <c r="D7" s="411">
        <v>8.1</v>
      </c>
      <c r="E7" s="413">
        <v>65</v>
      </c>
      <c r="F7" s="411">
        <v>29</v>
      </c>
      <c r="H7" s="435" t="s">
        <v>262</v>
      </c>
      <c r="I7" s="436">
        <v>80.07</v>
      </c>
      <c r="J7" s="436">
        <v>8</v>
      </c>
      <c r="L7" s="435" t="s">
        <v>263</v>
      </c>
      <c r="M7" s="437">
        <v>68</v>
      </c>
      <c r="N7" s="437">
        <v>100</v>
      </c>
      <c r="P7" s="440" t="s">
        <v>264</v>
      </c>
      <c r="Q7" s="439">
        <v>6</v>
      </c>
      <c r="R7" s="440" t="s">
        <v>265</v>
      </c>
      <c r="S7" s="440" t="s">
        <v>266</v>
      </c>
      <c r="T7" s="440" t="s">
        <v>267</v>
      </c>
      <c r="V7" s="435" t="s">
        <v>268</v>
      </c>
      <c r="W7" s="437">
        <v>78</v>
      </c>
      <c r="X7" s="437">
        <v>107</v>
      </c>
      <c r="Y7" s="437">
        <v>11</v>
      </c>
      <c r="Z7" s="435" t="s">
        <v>269</v>
      </c>
      <c r="AB7" s="435" t="s">
        <v>270</v>
      </c>
      <c r="AC7" s="437" t="s">
        <v>236</v>
      </c>
      <c r="AD7" s="435" t="s">
        <v>271</v>
      </c>
    </row>
    <row r="8" spans="1:30" ht="12.75">
      <c r="A8" t="s">
        <v>272</v>
      </c>
      <c r="B8" s="411">
        <v>21.5</v>
      </c>
      <c r="C8" s="412">
        <f t="shared" si="0"/>
        <v>1089.699316418198</v>
      </c>
      <c r="D8" s="411">
        <v>10</v>
      </c>
      <c r="E8" s="413">
        <v>78</v>
      </c>
      <c r="F8" s="411">
        <v>22</v>
      </c>
      <c r="H8" s="435" t="s">
        <v>273</v>
      </c>
      <c r="I8" s="436">
        <v>80.07</v>
      </c>
      <c r="J8" s="436">
        <v>15</v>
      </c>
      <c r="L8" s="435" t="s">
        <v>274</v>
      </c>
      <c r="M8" s="437">
        <v>92.3</v>
      </c>
      <c r="N8" s="437">
        <v>0.1</v>
      </c>
      <c r="P8" s="440" t="s">
        <v>275</v>
      </c>
      <c r="Q8" s="439">
        <v>5.5</v>
      </c>
      <c r="R8" s="440" t="s">
        <v>276</v>
      </c>
      <c r="S8" s="440" t="s">
        <v>277</v>
      </c>
      <c r="T8" s="440" t="s">
        <v>278</v>
      </c>
      <c r="V8" s="435" t="s">
        <v>279</v>
      </c>
      <c r="W8" s="437">
        <v>79</v>
      </c>
      <c r="X8" s="437">
        <v>107</v>
      </c>
      <c r="Y8" s="437">
        <v>20</v>
      </c>
      <c r="Z8" s="435" t="s">
        <v>280</v>
      </c>
      <c r="AB8" s="435" t="s">
        <v>281</v>
      </c>
      <c r="AC8" s="437" t="s">
        <v>236</v>
      </c>
      <c r="AD8" s="435" t="s">
        <v>282</v>
      </c>
    </row>
    <row r="9" spans="1:30" ht="12.75">
      <c r="A9" t="s">
        <v>283</v>
      </c>
      <c r="B9" s="411">
        <v>18</v>
      </c>
      <c r="C9" s="412">
        <f t="shared" si="0"/>
        <v>1074.1448320434192</v>
      </c>
      <c r="D9" s="411">
        <v>8.5</v>
      </c>
      <c r="E9" s="413">
        <v>14</v>
      </c>
      <c r="F9" s="411">
        <v>28</v>
      </c>
      <c r="H9" s="435" t="s">
        <v>284</v>
      </c>
      <c r="I9" s="436">
        <v>80</v>
      </c>
      <c r="J9" s="436">
        <v>31.005141973052183</v>
      </c>
      <c r="L9" s="435" t="s">
        <v>285</v>
      </c>
      <c r="M9" s="437">
        <v>81</v>
      </c>
      <c r="N9" s="437">
        <v>2</v>
      </c>
      <c r="P9" s="440" t="s">
        <v>286</v>
      </c>
      <c r="Q9" s="439">
        <v>9.5</v>
      </c>
      <c r="R9" s="440" t="s">
        <v>287</v>
      </c>
      <c r="S9" s="440" t="s">
        <v>288</v>
      </c>
      <c r="T9" s="440" t="s">
        <v>289</v>
      </c>
      <c r="V9" s="435" t="s">
        <v>290</v>
      </c>
      <c r="W9" s="437">
        <v>79</v>
      </c>
      <c r="X9" s="437">
        <v>107</v>
      </c>
      <c r="Y9" s="437">
        <v>20</v>
      </c>
      <c r="Z9" s="435" t="s">
        <v>291</v>
      </c>
      <c r="AB9" s="435" t="s">
        <v>292</v>
      </c>
      <c r="AC9" s="437" t="s">
        <v>236</v>
      </c>
      <c r="AD9" s="435" t="s">
        <v>293</v>
      </c>
    </row>
    <row r="10" spans="1:30" ht="12.75">
      <c r="A10" t="s">
        <v>294</v>
      </c>
      <c r="B10" s="411">
        <v>19.5</v>
      </c>
      <c r="C10" s="412">
        <f t="shared" si="0"/>
        <v>1080.7624722883766</v>
      </c>
      <c r="D10" s="411">
        <v>8</v>
      </c>
      <c r="E10" s="413">
        <v>12</v>
      </c>
      <c r="F10" s="411">
        <v>20</v>
      </c>
      <c r="H10" s="435" t="s">
        <v>295</v>
      </c>
      <c r="I10" s="436">
        <v>80.07</v>
      </c>
      <c r="J10" s="436">
        <v>49.057338814674104</v>
      </c>
      <c r="L10" s="435" t="s">
        <v>296</v>
      </c>
      <c r="M10" s="437">
        <v>79</v>
      </c>
      <c r="N10" s="437">
        <v>1.5</v>
      </c>
      <c r="P10" s="440" t="s">
        <v>297</v>
      </c>
      <c r="Q10" s="439">
        <v>7.5</v>
      </c>
      <c r="R10" s="440" t="s">
        <v>298</v>
      </c>
      <c r="S10" s="440" t="s">
        <v>299</v>
      </c>
      <c r="T10" s="440" t="s">
        <v>300</v>
      </c>
      <c r="V10" s="435" t="s">
        <v>301</v>
      </c>
      <c r="W10" s="437">
        <v>68</v>
      </c>
      <c r="X10" s="437">
        <v>107</v>
      </c>
      <c r="Y10" s="437">
        <v>20</v>
      </c>
      <c r="Z10" s="435" t="s">
        <v>302</v>
      </c>
      <c r="AB10" s="435" t="s">
        <v>303</v>
      </c>
      <c r="AC10" s="437" t="s">
        <v>304</v>
      </c>
      <c r="AD10" s="435" t="s">
        <v>305</v>
      </c>
    </row>
    <row r="11" spans="1:30" ht="12.75">
      <c r="A11" t="s">
        <v>306</v>
      </c>
      <c r="B11" s="411">
        <v>14.9</v>
      </c>
      <c r="C11" s="412">
        <f t="shared" si="0"/>
        <v>1060.6937734156018</v>
      </c>
      <c r="D11" s="411">
        <v>7.1</v>
      </c>
      <c r="E11" s="413">
        <v>30</v>
      </c>
      <c r="F11" s="411">
        <v>20</v>
      </c>
      <c r="H11" s="435" t="s">
        <v>307</v>
      </c>
      <c r="I11" s="436">
        <v>70</v>
      </c>
      <c r="J11" s="436">
        <v>58</v>
      </c>
      <c r="L11" s="435" t="s">
        <v>140</v>
      </c>
      <c r="M11" s="437">
        <v>100</v>
      </c>
      <c r="N11" s="437">
        <v>0.004500101328458176</v>
      </c>
      <c r="P11" s="440" t="s">
        <v>308</v>
      </c>
      <c r="Q11" s="439">
        <v>5</v>
      </c>
      <c r="R11" s="440" t="s">
        <v>309</v>
      </c>
      <c r="S11" s="440" t="s">
        <v>310</v>
      </c>
      <c r="T11" s="440" t="s">
        <v>311</v>
      </c>
      <c r="V11" s="435" t="s">
        <v>312</v>
      </c>
      <c r="W11" s="437">
        <v>68</v>
      </c>
      <c r="X11" s="437">
        <v>106</v>
      </c>
      <c r="Y11" s="437">
        <v>20</v>
      </c>
      <c r="Z11" s="435" t="s">
        <v>313</v>
      </c>
      <c r="AB11" s="435" t="s">
        <v>314</v>
      </c>
      <c r="AC11" s="437" t="s">
        <v>236</v>
      </c>
      <c r="AD11" s="435" t="s">
        <v>315</v>
      </c>
    </row>
    <row r="12" spans="1:30" ht="12.75" customHeight="1">
      <c r="A12" t="s">
        <v>316</v>
      </c>
      <c r="B12" s="411">
        <v>16.9</v>
      </c>
      <c r="C12" s="412">
        <f t="shared" si="0"/>
        <v>1069.3374281529364</v>
      </c>
      <c r="D12" s="411">
        <v>8.2</v>
      </c>
      <c r="E12" s="413">
        <v>17</v>
      </c>
      <c r="F12" s="411">
        <v>35</v>
      </c>
      <c r="H12" s="435" t="s">
        <v>317</v>
      </c>
      <c r="I12" s="436">
        <v>65</v>
      </c>
      <c r="J12" s="436">
        <v>60</v>
      </c>
      <c r="L12" s="435" t="s">
        <v>318</v>
      </c>
      <c r="M12" s="437">
        <v>53</v>
      </c>
      <c r="N12" s="437">
        <v>30</v>
      </c>
      <c r="P12" s="440" t="s">
        <v>319</v>
      </c>
      <c r="Q12" s="439">
        <v>7.5</v>
      </c>
      <c r="R12" s="440" t="s">
        <v>320</v>
      </c>
      <c r="S12" s="440" t="s">
        <v>321</v>
      </c>
      <c r="T12" s="440" t="s">
        <v>311</v>
      </c>
      <c r="V12" s="435" t="s">
        <v>322</v>
      </c>
      <c r="W12" s="437">
        <v>70</v>
      </c>
      <c r="X12" s="437">
        <v>106</v>
      </c>
      <c r="Y12" s="437">
        <v>21</v>
      </c>
      <c r="Z12" s="435" t="s">
        <v>323</v>
      </c>
      <c r="AB12" s="435" t="s">
        <v>324</v>
      </c>
      <c r="AC12" s="437" t="s">
        <v>259</v>
      </c>
      <c r="AD12" s="435" t="s">
        <v>325</v>
      </c>
    </row>
    <row r="13" spans="1:30" ht="12.75">
      <c r="A13" t="s">
        <v>326</v>
      </c>
      <c r="B13" s="411">
        <v>18.7</v>
      </c>
      <c r="C13" s="412">
        <f t="shared" si="0"/>
        <v>1077.224090455592</v>
      </c>
      <c r="D13" s="411">
        <v>9</v>
      </c>
      <c r="E13" s="413">
        <v>80</v>
      </c>
      <c r="F13" s="411">
        <v>35</v>
      </c>
      <c r="H13" s="435" t="s">
        <v>327</v>
      </c>
      <c r="I13" s="436">
        <v>69.25</v>
      </c>
      <c r="J13" s="436">
        <v>66</v>
      </c>
      <c r="L13" s="435" t="s">
        <v>328</v>
      </c>
      <c r="M13" s="437">
        <v>97.38</v>
      </c>
      <c r="N13" s="437">
        <v>6</v>
      </c>
      <c r="P13" s="440" t="s">
        <v>329</v>
      </c>
      <c r="Q13" s="439">
        <v>4</v>
      </c>
      <c r="R13" s="440" t="s">
        <v>330</v>
      </c>
      <c r="S13" s="440" t="s">
        <v>331</v>
      </c>
      <c r="T13" s="440" t="s">
        <v>332</v>
      </c>
      <c r="V13" s="435" t="s">
        <v>333</v>
      </c>
      <c r="W13" s="437">
        <v>72</v>
      </c>
      <c r="X13" s="437">
        <v>107</v>
      </c>
      <c r="Y13" s="437">
        <v>11</v>
      </c>
      <c r="Z13" s="435" t="s">
        <v>334</v>
      </c>
      <c r="AB13" s="435" t="s">
        <v>335</v>
      </c>
      <c r="AC13" s="437" t="s">
        <v>236</v>
      </c>
      <c r="AD13" s="435" t="s">
        <v>336</v>
      </c>
    </row>
    <row r="14" spans="1:30" ht="12.75">
      <c r="A14" t="s">
        <v>337</v>
      </c>
      <c r="B14" s="411">
        <v>13.6</v>
      </c>
      <c r="C14" s="412">
        <f t="shared" si="0"/>
        <v>1055.1415166479537</v>
      </c>
      <c r="D14" s="411">
        <v>6.2</v>
      </c>
      <c r="E14" s="413">
        <v>25</v>
      </c>
      <c r="F14" s="411">
        <v>33</v>
      </c>
      <c r="H14" s="435" t="s">
        <v>338</v>
      </c>
      <c r="I14" s="436">
        <v>69.25</v>
      </c>
      <c r="J14" s="436">
        <v>120</v>
      </c>
      <c r="L14" s="435" t="s">
        <v>339</v>
      </c>
      <c r="M14" s="437">
        <v>73.58</v>
      </c>
      <c r="N14" s="437">
        <v>30</v>
      </c>
      <c r="P14" s="440" t="s">
        <v>340</v>
      </c>
      <c r="Q14" s="439">
        <v>3</v>
      </c>
      <c r="R14" s="440" t="s">
        <v>341</v>
      </c>
      <c r="S14" s="440" t="s">
        <v>342</v>
      </c>
      <c r="T14" s="440" t="s">
        <v>343</v>
      </c>
      <c r="V14" s="435" t="s">
        <v>344</v>
      </c>
      <c r="W14" s="437">
        <v>71.5</v>
      </c>
      <c r="X14" s="437">
        <v>107</v>
      </c>
      <c r="Y14" s="437">
        <v>20</v>
      </c>
      <c r="Z14" s="435" t="s">
        <v>345</v>
      </c>
      <c r="AB14" s="435" t="s">
        <v>346</v>
      </c>
      <c r="AC14" s="437" t="s">
        <v>236</v>
      </c>
      <c r="AD14" s="435" t="s">
        <v>347</v>
      </c>
    </row>
    <row r="15" spans="1:30" ht="12.75">
      <c r="A15" t="s">
        <v>348</v>
      </c>
      <c r="B15" s="411">
        <v>7.5</v>
      </c>
      <c r="C15" s="412">
        <f t="shared" si="0"/>
        <v>1029.7615061703043</v>
      </c>
      <c r="D15" s="411">
        <v>7.8</v>
      </c>
      <c r="E15" s="413">
        <v>40</v>
      </c>
      <c r="F15" s="411">
        <v>18</v>
      </c>
      <c r="H15" s="435" t="s">
        <v>349</v>
      </c>
      <c r="I15" s="436">
        <v>69.25</v>
      </c>
      <c r="J15" s="436">
        <v>150</v>
      </c>
      <c r="L15" s="435" t="s">
        <v>350</v>
      </c>
      <c r="M15" s="437">
        <v>99.55</v>
      </c>
      <c r="N15" s="437">
        <v>0.1</v>
      </c>
      <c r="P15" s="440" t="s">
        <v>351</v>
      </c>
      <c r="Q15" s="439">
        <v>4.5</v>
      </c>
      <c r="R15" s="440" t="s">
        <v>352</v>
      </c>
      <c r="S15" s="440" t="s">
        <v>353</v>
      </c>
      <c r="T15" s="440" t="s">
        <v>354</v>
      </c>
      <c r="V15" s="435" t="s">
        <v>355</v>
      </c>
      <c r="W15" s="437">
        <v>81</v>
      </c>
      <c r="X15" s="437">
        <v>107</v>
      </c>
      <c r="Y15" s="437">
        <v>20</v>
      </c>
      <c r="Z15" s="435" t="s">
        <v>356</v>
      </c>
      <c r="AB15" s="435" t="s">
        <v>357</v>
      </c>
      <c r="AC15" s="437" t="s">
        <v>236</v>
      </c>
      <c r="AD15" s="435" t="s">
        <v>358</v>
      </c>
    </row>
    <row r="16" spans="1:30" ht="12.75">
      <c r="A16" t="s">
        <v>359</v>
      </c>
      <c r="B16" s="411">
        <v>19</v>
      </c>
      <c r="C16" s="412">
        <f t="shared" si="0"/>
        <v>1078.5485712324953</v>
      </c>
      <c r="D16" s="411">
        <v>9.2</v>
      </c>
      <c r="E16" s="413">
        <v>63</v>
      </c>
      <c r="F16" s="411">
        <v>22</v>
      </c>
      <c r="H16" s="435" t="s">
        <v>360</v>
      </c>
      <c r="I16" s="436">
        <v>65</v>
      </c>
      <c r="J16" s="436">
        <v>390</v>
      </c>
      <c r="L16" s="435" t="s">
        <v>361</v>
      </c>
      <c r="M16" s="437">
        <v>69</v>
      </c>
      <c r="N16" s="437">
        <v>0.1</v>
      </c>
      <c r="P16" s="440" t="s">
        <v>362</v>
      </c>
      <c r="Q16" s="439">
        <v>4.5</v>
      </c>
      <c r="R16" s="440" t="s">
        <v>363</v>
      </c>
      <c r="S16" s="440" t="s">
        <v>364</v>
      </c>
      <c r="T16" s="440" t="s">
        <v>365</v>
      </c>
      <c r="V16" s="435" t="s">
        <v>366</v>
      </c>
      <c r="W16" s="437">
        <v>77</v>
      </c>
      <c r="X16" s="437">
        <v>106</v>
      </c>
      <c r="Y16" s="437">
        <v>11</v>
      </c>
      <c r="Z16" s="435" t="s">
        <v>367</v>
      </c>
      <c r="AB16" s="435" t="s">
        <v>368</v>
      </c>
      <c r="AC16" s="437" t="s">
        <v>236</v>
      </c>
      <c r="AD16" s="435" t="s">
        <v>369</v>
      </c>
    </row>
    <row r="17" spans="1:30" ht="12.75">
      <c r="A17" t="s">
        <v>370</v>
      </c>
      <c r="B17" s="411">
        <v>23</v>
      </c>
      <c r="C17" s="412">
        <f t="shared" si="0"/>
        <v>1096.488510420864</v>
      </c>
      <c r="D17" s="411">
        <v>11.3</v>
      </c>
      <c r="E17" s="413">
        <v>90</v>
      </c>
      <c r="F17" s="411">
        <v>27</v>
      </c>
      <c r="H17" s="435" t="s">
        <v>371</v>
      </c>
      <c r="I17" s="436">
        <v>64.92</v>
      </c>
      <c r="J17" s="436">
        <v>900</v>
      </c>
      <c r="L17" s="435" t="s">
        <v>372</v>
      </c>
      <c r="M17" s="437">
        <v>100</v>
      </c>
      <c r="N17" s="437">
        <v>0.1</v>
      </c>
      <c r="P17" s="440" t="s">
        <v>373</v>
      </c>
      <c r="Q17" s="439">
        <v>6.5</v>
      </c>
      <c r="R17" s="440" t="s">
        <v>374</v>
      </c>
      <c r="S17" s="440" t="s">
        <v>375</v>
      </c>
      <c r="T17" s="440" t="s">
        <v>332</v>
      </c>
      <c r="V17" s="435" t="s">
        <v>376</v>
      </c>
      <c r="W17" s="437">
        <v>79</v>
      </c>
      <c r="X17" s="437">
        <v>106</v>
      </c>
      <c r="Y17" s="437">
        <v>20</v>
      </c>
      <c r="Z17" s="435" t="s">
        <v>377</v>
      </c>
      <c r="AB17" s="435" t="s">
        <v>378</v>
      </c>
      <c r="AC17" s="437" t="s">
        <v>259</v>
      </c>
      <c r="AD17" s="435" t="s">
        <v>379</v>
      </c>
    </row>
    <row r="18" spans="1:30" ht="12.75">
      <c r="A18" t="s">
        <v>380</v>
      </c>
      <c r="B18" s="411">
        <v>15.6</v>
      </c>
      <c r="C18" s="412">
        <f t="shared" si="0"/>
        <v>1063.7049266205001</v>
      </c>
      <c r="D18" s="411">
        <v>7.3</v>
      </c>
      <c r="E18" s="413">
        <v>74</v>
      </c>
      <c r="F18" s="411">
        <v>25</v>
      </c>
      <c r="H18" s="435" t="s">
        <v>381</v>
      </c>
      <c r="I18" s="436">
        <v>64.92</v>
      </c>
      <c r="J18" s="436">
        <v>1400</v>
      </c>
      <c r="L18" s="435" t="s">
        <v>382</v>
      </c>
      <c r="M18" s="437">
        <v>99.5</v>
      </c>
      <c r="N18" s="437">
        <v>18</v>
      </c>
      <c r="P18" s="440" t="s">
        <v>383</v>
      </c>
      <c r="Q18" s="439">
        <v>5.5</v>
      </c>
      <c r="R18" s="440" t="s">
        <v>384</v>
      </c>
      <c r="S18" s="440" t="s">
        <v>385</v>
      </c>
      <c r="T18" s="440" t="s">
        <v>386</v>
      </c>
      <c r="V18" s="435" t="s">
        <v>387</v>
      </c>
      <c r="W18" s="437">
        <v>66</v>
      </c>
      <c r="X18" s="437">
        <v>106</v>
      </c>
      <c r="Y18" s="437" t="s">
        <v>388</v>
      </c>
      <c r="Z18" s="435" t="s">
        <v>389</v>
      </c>
      <c r="AB18" s="435" t="s">
        <v>390</v>
      </c>
      <c r="AC18" s="437" t="s">
        <v>236</v>
      </c>
      <c r="AD18" s="435" t="s">
        <v>391</v>
      </c>
    </row>
    <row r="19" spans="1:30" ht="12.75" customHeight="1">
      <c r="A19" t="s">
        <v>392</v>
      </c>
      <c r="B19" s="411">
        <v>19.6</v>
      </c>
      <c r="C19" s="412">
        <f t="shared" si="0"/>
        <v>1081.206220628518</v>
      </c>
      <c r="D19" s="411">
        <v>9.6</v>
      </c>
      <c r="E19" s="413">
        <v>15</v>
      </c>
      <c r="F19" s="411">
        <v>39</v>
      </c>
      <c r="H19" s="435" t="s">
        <v>393</v>
      </c>
      <c r="I19" s="436">
        <v>73.58</v>
      </c>
      <c r="J19" s="436">
        <v>4</v>
      </c>
      <c r="L19" s="435" t="s">
        <v>394</v>
      </c>
      <c r="M19" s="437">
        <v>99.5</v>
      </c>
      <c r="N19" s="437">
        <v>95</v>
      </c>
      <c r="O19" s="414">
        <v>2</v>
      </c>
      <c r="P19" s="440" t="s">
        <v>395</v>
      </c>
      <c r="Q19" s="439">
        <v>3.5</v>
      </c>
      <c r="R19" s="440" t="s">
        <v>396</v>
      </c>
      <c r="S19" s="440" t="s">
        <v>397</v>
      </c>
      <c r="T19" s="440" t="s">
        <v>398</v>
      </c>
      <c r="V19" s="435" t="s">
        <v>399</v>
      </c>
      <c r="W19" s="437">
        <v>66</v>
      </c>
      <c r="X19" s="437">
        <v>106</v>
      </c>
      <c r="Y19" s="437" t="s">
        <v>388</v>
      </c>
      <c r="Z19" s="435" t="s">
        <v>400</v>
      </c>
      <c r="AB19" s="435" t="s">
        <v>401</v>
      </c>
      <c r="AC19" s="437" t="s">
        <v>236</v>
      </c>
      <c r="AD19" s="435" t="s">
        <v>402</v>
      </c>
    </row>
    <row r="20" spans="1:30" ht="12.75">
      <c r="A20" t="s">
        <v>403</v>
      </c>
      <c r="B20" s="411">
        <v>12.6</v>
      </c>
      <c r="C20" s="412">
        <f t="shared" si="0"/>
        <v>1050.9054565680099</v>
      </c>
      <c r="D20" s="411">
        <v>5.6</v>
      </c>
      <c r="E20" s="413">
        <v>9</v>
      </c>
      <c r="F20" s="411">
        <v>41</v>
      </c>
      <c r="H20" s="435" t="s">
        <v>404</v>
      </c>
      <c r="I20" s="436">
        <v>74.58</v>
      </c>
      <c r="J20" s="436">
        <v>1</v>
      </c>
      <c r="L20" s="435" t="s">
        <v>405</v>
      </c>
      <c r="M20" s="437">
        <v>99.5</v>
      </c>
      <c r="N20" s="437">
        <v>57</v>
      </c>
      <c r="P20" s="440" t="s">
        <v>406</v>
      </c>
      <c r="Q20" s="439">
        <v>3.7</v>
      </c>
      <c r="R20" s="440" t="s">
        <v>407</v>
      </c>
      <c r="S20" s="440" t="s">
        <v>408</v>
      </c>
      <c r="T20" s="440" t="s">
        <v>409</v>
      </c>
      <c r="V20" s="435" t="s">
        <v>410</v>
      </c>
      <c r="W20" s="437">
        <v>66</v>
      </c>
      <c r="X20" s="437">
        <v>106</v>
      </c>
      <c r="Y20" s="437" t="s">
        <v>388</v>
      </c>
      <c r="Z20" s="435" t="s">
        <v>411</v>
      </c>
      <c r="AB20" s="435" t="s">
        <v>412</v>
      </c>
      <c r="AC20" s="437" t="s">
        <v>413</v>
      </c>
      <c r="AD20" s="435" t="s">
        <v>414</v>
      </c>
    </row>
    <row r="21" spans="1:30" ht="12.75">
      <c r="A21" t="s">
        <v>415</v>
      </c>
      <c r="B21" s="411">
        <v>17.6</v>
      </c>
      <c r="C21" s="412">
        <f t="shared" si="0"/>
        <v>1072.3922581086733</v>
      </c>
      <c r="D21" s="411">
        <v>8.3</v>
      </c>
      <c r="E21" s="413">
        <v>72</v>
      </c>
      <c r="F21" s="411">
        <v>35</v>
      </c>
      <c r="H21" s="435" t="s">
        <v>416</v>
      </c>
      <c r="I21" s="436">
        <v>86.56</v>
      </c>
      <c r="J21" s="436">
        <v>0.2</v>
      </c>
      <c r="L21" s="435" t="s">
        <v>417</v>
      </c>
      <c r="M21" s="437">
        <v>99.5</v>
      </c>
      <c r="N21" s="437">
        <v>8</v>
      </c>
      <c r="P21" s="440" t="s">
        <v>418</v>
      </c>
      <c r="Q21" s="439">
        <v>14</v>
      </c>
      <c r="R21" s="440" t="s">
        <v>419</v>
      </c>
      <c r="S21" s="440" t="s">
        <v>420</v>
      </c>
      <c r="T21" s="440" t="s">
        <v>421</v>
      </c>
      <c r="V21" s="435" t="s">
        <v>422</v>
      </c>
      <c r="W21" s="437">
        <v>82.5</v>
      </c>
      <c r="X21" s="437">
        <v>107.5</v>
      </c>
      <c r="Y21" s="437">
        <v>20</v>
      </c>
      <c r="Z21" s="435" t="s">
        <v>423</v>
      </c>
      <c r="AB21" s="435" t="s">
        <v>424</v>
      </c>
      <c r="AC21" s="437" t="s">
        <v>236</v>
      </c>
      <c r="AD21" s="435" t="s">
        <v>425</v>
      </c>
    </row>
    <row r="22" spans="1:30" ht="12.75">
      <c r="A22" t="s">
        <v>426</v>
      </c>
      <c r="B22" s="411">
        <v>21.5</v>
      </c>
      <c r="C22" s="412">
        <f t="shared" si="0"/>
        <v>1089.699316418198</v>
      </c>
      <c r="D22" s="411">
        <v>10.2</v>
      </c>
      <c r="E22" s="413">
        <v>79</v>
      </c>
      <c r="F22" s="411">
        <v>38</v>
      </c>
      <c r="H22" s="435" t="s">
        <v>427</v>
      </c>
      <c r="I22" s="436">
        <v>73.58</v>
      </c>
      <c r="J22" s="436">
        <v>3.7</v>
      </c>
      <c r="L22" s="435" t="s">
        <v>428</v>
      </c>
      <c r="M22" s="437">
        <v>99.5</v>
      </c>
      <c r="N22" s="437">
        <v>79</v>
      </c>
      <c r="P22" s="440" t="s">
        <v>429</v>
      </c>
      <c r="Q22" s="439">
        <v>15</v>
      </c>
      <c r="R22" s="440" t="s">
        <v>430</v>
      </c>
      <c r="S22" s="440" t="s">
        <v>431</v>
      </c>
      <c r="T22" s="440" t="s">
        <v>332</v>
      </c>
      <c r="V22" s="435" t="s">
        <v>432</v>
      </c>
      <c r="W22" s="437">
        <v>79</v>
      </c>
      <c r="X22" s="437">
        <v>107.5</v>
      </c>
      <c r="Y22" s="437">
        <v>20</v>
      </c>
      <c r="Z22" s="435" t="s">
        <v>433</v>
      </c>
      <c r="AB22" s="435" t="s">
        <v>434</v>
      </c>
      <c r="AC22" s="437" t="s">
        <v>236</v>
      </c>
      <c r="AD22" s="435" t="s">
        <v>425</v>
      </c>
    </row>
    <row r="23" spans="1:30" ht="12.75">
      <c r="A23" t="s">
        <v>435</v>
      </c>
      <c r="B23" s="411">
        <v>19.2</v>
      </c>
      <c r="C23" s="412">
        <f t="shared" si="0"/>
        <v>1079.4331649350238</v>
      </c>
      <c r="D23" s="411">
        <v>8.9</v>
      </c>
      <c r="E23" s="413">
        <v>25</v>
      </c>
      <c r="F23" s="411">
        <v>30</v>
      </c>
      <c r="H23" s="435" t="s">
        <v>436</v>
      </c>
      <c r="I23" s="436">
        <v>73.58</v>
      </c>
      <c r="J23" s="436">
        <v>4</v>
      </c>
      <c r="L23" s="435" t="s">
        <v>698</v>
      </c>
      <c r="M23" s="437">
        <v>99.55</v>
      </c>
      <c r="N23" s="437">
        <v>10</v>
      </c>
      <c r="P23" s="440" t="s">
        <v>437</v>
      </c>
      <c r="Q23" s="439">
        <v>15</v>
      </c>
      <c r="R23" s="440" t="s">
        <v>438</v>
      </c>
      <c r="S23" s="440" t="s">
        <v>439</v>
      </c>
      <c r="T23" s="440" t="s">
        <v>440</v>
      </c>
      <c r="V23" s="435" t="s">
        <v>441</v>
      </c>
      <c r="W23" s="437">
        <v>82</v>
      </c>
      <c r="X23" s="437">
        <v>107.5</v>
      </c>
      <c r="Y23" s="437" t="s">
        <v>388</v>
      </c>
      <c r="Z23" s="435" t="s">
        <v>442</v>
      </c>
      <c r="AB23" s="435" t="s">
        <v>443</v>
      </c>
      <c r="AC23" s="437" t="s">
        <v>236</v>
      </c>
      <c r="AD23" s="435" t="s">
        <v>444</v>
      </c>
    </row>
    <row r="24" spans="1:30" ht="12.75">
      <c r="A24" t="s">
        <v>445</v>
      </c>
      <c r="B24" s="411">
        <v>15.8</v>
      </c>
      <c r="C24" s="412">
        <f t="shared" si="0"/>
        <v>1064.5680392047325</v>
      </c>
      <c r="D24" s="411">
        <v>6.8</v>
      </c>
      <c r="E24" s="413">
        <v>18</v>
      </c>
      <c r="F24" s="411">
        <v>18</v>
      </c>
      <c r="H24" s="435" t="s">
        <v>446</v>
      </c>
      <c r="I24" s="436">
        <v>73.58</v>
      </c>
      <c r="J24" s="436">
        <v>4</v>
      </c>
      <c r="L24" s="435"/>
      <c r="M24" s="437"/>
      <c r="N24" s="437"/>
      <c r="P24" s="440" t="s">
        <v>447</v>
      </c>
      <c r="Q24" s="439">
        <v>9</v>
      </c>
      <c r="R24" s="440" t="s">
        <v>448</v>
      </c>
      <c r="S24" s="440" t="s">
        <v>449</v>
      </c>
      <c r="T24" s="440" t="s">
        <v>450</v>
      </c>
      <c r="V24" s="435" t="s">
        <v>451</v>
      </c>
      <c r="W24" s="437">
        <v>83</v>
      </c>
      <c r="X24" s="437">
        <v>107.5</v>
      </c>
      <c r="Y24" s="437">
        <v>20</v>
      </c>
      <c r="Z24" s="435" t="s">
        <v>452</v>
      </c>
      <c r="AB24" s="435" t="s">
        <v>453</v>
      </c>
      <c r="AC24" s="437" t="s">
        <v>413</v>
      </c>
      <c r="AD24" s="435" t="s">
        <v>454</v>
      </c>
    </row>
    <row r="25" spans="1:30" ht="12.75">
      <c r="A25" t="s">
        <v>455</v>
      </c>
      <c r="B25" s="411">
        <v>10.7</v>
      </c>
      <c r="C25" s="412">
        <f t="shared" si="0"/>
        <v>1042.9393269517334</v>
      </c>
      <c r="D25" s="411">
        <v>4.5</v>
      </c>
      <c r="E25" s="413">
        <v>19</v>
      </c>
      <c r="F25" s="411">
        <v>30</v>
      </c>
      <c r="H25" s="435" t="s">
        <v>456</v>
      </c>
      <c r="I25" s="436">
        <v>73.58</v>
      </c>
      <c r="J25" s="436">
        <v>4</v>
      </c>
      <c r="L25" s="435"/>
      <c r="M25" s="437"/>
      <c r="N25" s="437"/>
      <c r="P25" s="440" t="s">
        <v>457</v>
      </c>
      <c r="Q25" s="439">
        <v>11</v>
      </c>
      <c r="R25" s="440" t="s">
        <v>458</v>
      </c>
      <c r="S25" s="440" t="s">
        <v>459</v>
      </c>
      <c r="T25" s="440" t="s">
        <v>460</v>
      </c>
      <c r="V25" s="435" t="s">
        <v>461</v>
      </c>
      <c r="W25" s="437">
        <v>82</v>
      </c>
      <c r="X25" s="437">
        <v>107.5</v>
      </c>
      <c r="Y25" s="437">
        <v>21</v>
      </c>
      <c r="Z25" s="435" t="s">
        <v>462</v>
      </c>
      <c r="AB25" s="435" t="s">
        <v>463</v>
      </c>
      <c r="AC25" s="437" t="s">
        <v>236</v>
      </c>
      <c r="AD25" s="435" t="s">
        <v>464</v>
      </c>
    </row>
    <row r="26" spans="1:30" ht="12.75">
      <c r="A26" t="s">
        <v>465</v>
      </c>
      <c r="B26" s="411">
        <v>11.4</v>
      </c>
      <c r="C26" s="412">
        <f t="shared" si="0"/>
        <v>1045.861755049711</v>
      </c>
      <c r="D26" s="411">
        <v>4.8</v>
      </c>
      <c r="E26" s="413">
        <v>4</v>
      </c>
      <c r="F26" s="411">
        <v>38</v>
      </c>
      <c r="H26" s="435" t="s">
        <v>466</v>
      </c>
      <c r="I26" s="436">
        <v>85</v>
      </c>
      <c r="J26" s="436">
        <v>0.3</v>
      </c>
      <c r="L26" s="435"/>
      <c r="M26" s="437"/>
      <c r="N26" s="437"/>
      <c r="P26" s="440" t="s">
        <v>467</v>
      </c>
      <c r="Q26" s="439">
        <v>6</v>
      </c>
      <c r="R26" s="440" t="s">
        <v>468</v>
      </c>
      <c r="S26" s="440" t="s">
        <v>469</v>
      </c>
      <c r="T26" s="440" t="s">
        <v>470</v>
      </c>
      <c r="V26" s="435" t="s">
        <v>12</v>
      </c>
      <c r="W26" s="437">
        <v>82</v>
      </c>
      <c r="X26" s="437">
        <v>107.5</v>
      </c>
      <c r="Y26" s="437">
        <v>21</v>
      </c>
      <c r="Z26" s="435" t="s">
        <v>471</v>
      </c>
      <c r="AB26" s="435" t="s">
        <v>472</v>
      </c>
      <c r="AC26" s="437" t="s">
        <v>259</v>
      </c>
      <c r="AD26" s="435" t="s">
        <v>473</v>
      </c>
    </row>
    <row r="27" spans="1:30" ht="12.75">
      <c r="A27" t="s">
        <v>474</v>
      </c>
      <c r="B27" s="411">
        <v>12.8</v>
      </c>
      <c r="C27" s="412">
        <f t="shared" si="0"/>
        <v>1051.7502584278532</v>
      </c>
      <c r="D27" s="411">
        <v>5.4</v>
      </c>
      <c r="E27" s="413">
        <v>9</v>
      </c>
      <c r="F27" s="411">
        <v>15</v>
      </c>
      <c r="H27" s="435" t="s">
        <v>475</v>
      </c>
      <c r="I27" s="436">
        <v>64.92</v>
      </c>
      <c r="J27" s="436">
        <v>1000</v>
      </c>
      <c r="L27" s="435"/>
      <c r="M27" s="437"/>
      <c r="N27" s="437"/>
      <c r="P27" s="440" t="s">
        <v>476</v>
      </c>
      <c r="Q27" s="439">
        <v>10</v>
      </c>
      <c r="R27" s="440" t="s">
        <v>477</v>
      </c>
      <c r="S27" s="440" t="s">
        <v>478</v>
      </c>
      <c r="T27" s="440" t="s">
        <v>479</v>
      </c>
      <c r="V27" s="435" t="s">
        <v>441</v>
      </c>
      <c r="W27" s="437">
        <v>82</v>
      </c>
      <c r="X27" s="437">
        <v>107.5</v>
      </c>
      <c r="Y27" s="437" t="s">
        <v>480</v>
      </c>
      <c r="Z27" s="435" t="s">
        <v>442</v>
      </c>
      <c r="AB27" s="435" t="s">
        <v>481</v>
      </c>
      <c r="AC27" s="437" t="s">
        <v>304</v>
      </c>
      <c r="AD27" s="435" t="s">
        <v>482</v>
      </c>
    </row>
    <row r="28" spans="1:30" ht="12.75">
      <c r="A28" t="s">
        <v>483</v>
      </c>
      <c r="B28" s="411">
        <v>16.5</v>
      </c>
      <c r="C28" s="412">
        <f t="shared" si="0"/>
        <v>1067.5987302500323</v>
      </c>
      <c r="D28" s="411">
        <v>7.7</v>
      </c>
      <c r="E28" s="413">
        <v>76</v>
      </c>
      <c r="F28" s="411">
        <v>26</v>
      </c>
      <c r="H28" s="435" t="s">
        <v>484</v>
      </c>
      <c r="I28" s="436">
        <v>80.5</v>
      </c>
      <c r="J28" s="436">
        <v>3</v>
      </c>
      <c r="L28" s="435"/>
      <c r="M28" s="437"/>
      <c r="N28" s="437"/>
      <c r="P28" s="440" t="s">
        <v>485</v>
      </c>
      <c r="Q28" s="439">
        <v>9</v>
      </c>
      <c r="R28" s="440" t="s">
        <v>486</v>
      </c>
      <c r="S28" s="440" t="s">
        <v>487</v>
      </c>
      <c r="T28" s="440" t="s">
        <v>488</v>
      </c>
      <c r="V28" s="435" t="s">
        <v>489</v>
      </c>
      <c r="W28" s="437">
        <v>82</v>
      </c>
      <c r="X28" s="437">
        <v>107.5</v>
      </c>
      <c r="Y28" s="437">
        <v>21</v>
      </c>
      <c r="Z28" s="435" t="s">
        <v>490</v>
      </c>
      <c r="AB28" s="435" t="s">
        <v>491</v>
      </c>
      <c r="AC28" s="437" t="s">
        <v>492</v>
      </c>
      <c r="AD28" s="435" t="s">
        <v>493</v>
      </c>
    </row>
    <row r="29" spans="1:30" ht="12.75">
      <c r="A29" t="s">
        <v>494</v>
      </c>
      <c r="B29" s="411">
        <v>12</v>
      </c>
      <c r="C29" s="412">
        <f t="shared" si="0"/>
        <v>1048.378240435017</v>
      </c>
      <c r="D29" s="411">
        <v>5</v>
      </c>
      <c r="E29" s="413">
        <v>22</v>
      </c>
      <c r="F29" s="411">
        <v>24</v>
      </c>
      <c r="H29" s="435" t="s">
        <v>495</v>
      </c>
      <c r="I29" s="436">
        <v>84.4</v>
      </c>
      <c r="J29" s="436">
        <v>4</v>
      </c>
      <c r="L29" s="435"/>
      <c r="M29" s="437"/>
      <c r="N29" s="437"/>
      <c r="P29" s="440" t="s">
        <v>496</v>
      </c>
      <c r="Q29" s="439">
        <v>7</v>
      </c>
      <c r="R29" s="440" t="s">
        <v>497</v>
      </c>
      <c r="S29" s="440" t="s">
        <v>498</v>
      </c>
      <c r="T29" s="440" t="s">
        <v>499</v>
      </c>
      <c r="V29" s="435" t="s">
        <v>500</v>
      </c>
      <c r="W29" s="437">
        <v>82</v>
      </c>
      <c r="X29" s="437">
        <v>107.5</v>
      </c>
      <c r="Y29" s="437">
        <v>23</v>
      </c>
      <c r="Z29" s="435" t="s">
        <v>501</v>
      </c>
      <c r="AB29" s="435" t="s">
        <v>502</v>
      </c>
      <c r="AC29" s="437" t="s">
        <v>236</v>
      </c>
      <c r="AD29" s="435" t="s">
        <v>503</v>
      </c>
    </row>
    <row r="30" spans="1:30" ht="12.75">
      <c r="A30" t="s">
        <v>504</v>
      </c>
      <c r="B30" s="411">
        <v>14</v>
      </c>
      <c r="C30" s="412">
        <f t="shared" si="0"/>
        <v>1056.8444123769775</v>
      </c>
      <c r="D30" s="411">
        <v>6</v>
      </c>
      <c r="E30" s="413">
        <v>10</v>
      </c>
      <c r="F30" s="411">
        <v>28</v>
      </c>
      <c r="H30" s="435" t="s">
        <v>505</v>
      </c>
      <c r="I30" s="436">
        <v>80.07</v>
      </c>
      <c r="J30" s="436">
        <v>4.006847491642186</v>
      </c>
      <c r="L30" s="435"/>
      <c r="M30" s="437"/>
      <c r="N30" s="437"/>
      <c r="P30" s="440" t="s">
        <v>506</v>
      </c>
      <c r="Q30" s="439">
        <v>7</v>
      </c>
      <c r="R30" s="440" t="s">
        <v>507</v>
      </c>
      <c r="S30" s="440" t="s">
        <v>508</v>
      </c>
      <c r="T30" s="440" t="s">
        <v>509</v>
      </c>
      <c r="V30" s="435" t="s">
        <v>510</v>
      </c>
      <c r="W30" s="437">
        <v>82.5</v>
      </c>
      <c r="X30" s="437">
        <v>107.5</v>
      </c>
      <c r="Y30" s="437">
        <v>23</v>
      </c>
      <c r="Z30" s="435" t="s">
        <v>511</v>
      </c>
      <c r="AB30" s="435" t="s">
        <v>512</v>
      </c>
      <c r="AC30" s="437" t="s">
        <v>236</v>
      </c>
      <c r="AD30" s="435" t="s">
        <v>513</v>
      </c>
    </row>
    <row r="31" spans="1:30" ht="12.75">
      <c r="A31" t="s">
        <v>514</v>
      </c>
      <c r="B31" s="411">
        <v>18.7</v>
      </c>
      <c r="C31" s="412">
        <f t="shared" si="0"/>
        <v>1077.224090455592</v>
      </c>
      <c r="D31" s="411">
        <v>8.1</v>
      </c>
      <c r="E31" s="413">
        <v>35</v>
      </c>
      <c r="F31" s="411">
        <v>60</v>
      </c>
      <c r="H31" s="435" t="s">
        <v>515</v>
      </c>
      <c r="I31" s="436">
        <v>80.07</v>
      </c>
      <c r="J31" s="436">
        <v>5</v>
      </c>
      <c r="L31" s="435"/>
      <c r="M31" s="437"/>
      <c r="N31" s="437"/>
      <c r="P31" s="440" t="s">
        <v>516</v>
      </c>
      <c r="Q31" s="439">
        <v>4.5</v>
      </c>
      <c r="R31" s="440" t="s">
        <v>517</v>
      </c>
      <c r="S31" s="440" t="s">
        <v>518</v>
      </c>
      <c r="T31" s="440" t="s">
        <v>519</v>
      </c>
      <c r="V31" s="435" t="s">
        <v>520</v>
      </c>
      <c r="W31" s="437">
        <v>82.5</v>
      </c>
      <c r="X31" s="437">
        <v>107.5</v>
      </c>
      <c r="Y31" s="437">
        <v>24</v>
      </c>
      <c r="Z31" s="435" t="s">
        <v>521</v>
      </c>
      <c r="AB31" s="435"/>
      <c r="AC31" s="437"/>
      <c r="AD31" s="435"/>
    </row>
    <row r="32" spans="1:30" ht="12.75">
      <c r="A32" t="s">
        <v>522</v>
      </c>
      <c r="B32" s="411">
        <v>17</v>
      </c>
      <c r="C32" s="412">
        <f t="shared" si="0"/>
        <v>1069.7728872000203</v>
      </c>
      <c r="D32" s="411">
        <v>8.5</v>
      </c>
      <c r="E32" s="413">
        <v>11</v>
      </c>
      <c r="F32" s="411">
        <v>32</v>
      </c>
      <c r="H32" s="435" t="s">
        <v>523</v>
      </c>
      <c r="I32" s="436">
        <v>85</v>
      </c>
      <c r="J32" s="436">
        <v>6</v>
      </c>
      <c r="L32" s="435"/>
      <c r="M32" s="437"/>
      <c r="N32" s="437"/>
      <c r="P32" s="440" t="s">
        <v>524</v>
      </c>
      <c r="Q32" s="439">
        <v>5</v>
      </c>
      <c r="R32" s="440" t="s">
        <v>525</v>
      </c>
      <c r="S32" s="440" t="s">
        <v>526</v>
      </c>
      <c r="T32" s="440" t="s">
        <v>527</v>
      </c>
      <c r="V32" s="435" t="s">
        <v>528</v>
      </c>
      <c r="W32" s="437">
        <v>75</v>
      </c>
      <c r="X32" s="437">
        <v>107</v>
      </c>
      <c r="Y32" s="437">
        <v>16</v>
      </c>
      <c r="Z32" s="435" t="s">
        <v>529</v>
      </c>
      <c r="AB32" s="435"/>
      <c r="AC32" s="437"/>
      <c r="AD32" s="435"/>
    </row>
    <row r="33" spans="1:30" ht="12.75">
      <c r="A33" t="s">
        <v>530</v>
      </c>
      <c r="B33" s="411">
        <v>16.3</v>
      </c>
      <c r="C33" s="412">
        <f t="shared" si="0"/>
        <v>1066.731259523661</v>
      </c>
      <c r="D33" s="411">
        <v>7.5</v>
      </c>
      <c r="E33" s="413">
        <v>15</v>
      </c>
      <c r="F33" s="411">
        <v>38</v>
      </c>
      <c r="H33" s="435" t="s">
        <v>531</v>
      </c>
      <c r="I33" s="436">
        <v>69.25</v>
      </c>
      <c r="J33" s="436">
        <v>6</v>
      </c>
      <c r="L33" s="435"/>
      <c r="M33" s="437"/>
      <c r="N33" s="437"/>
      <c r="P33" s="440" t="s">
        <v>532</v>
      </c>
      <c r="Q33" s="439">
        <v>4</v>
      </c>
      <c r="R33" s="440" t="s">
        <v>533</v>
      </c>
      <c r="S33" s="440" t="s">
        <v>534</v>
      </c>
      <c r="T33" s="440" t="s">
        <v>535</v>
      </c>
      <c r="V33" s="435" t="s">
        <v>536</v>
      </c>
      <c r="W33" s="437">
        <v>76</v>
      </c>
      <c r="X33" s="437">
        <v>107</v>
      </c>
      <c r="Y33" s="437">
        <v>19</v>
      </c>
      <c r="Z33" s="435" t="s">
        <v>537</v>
      </c>
      <c r="AB33" s="435"/>
      <c r="AC33" s="437"/>
      <c r="AD33" s="435"/>
    </row>
    <row r="34" spans="1:30" ht="12.75">
      <c r="A34" t="s">
        <v>538</v>
      </c>
      <c r="B34" s="411">
        <v>12.6</v>
      </c>
      <c r="C34" s="412">
        <f t="shared" si="0"/>
        <v>1050.9054565680099</v>
      </c>
      <c r="D34" s="411">
        <v>5.3</v>
      </c>
      <c r="E34" s="413">
        <v>9</v>
      </c>
      <c r="F34" s="411">
        <v>18</v>
      </c>
      <c r="H34" s="435" t="s">
        <v>539</v>
      </c>
      <c r="I34" s="436">
        <v>80.07</v>
      </c>
      <c r="J34" s="436">
        <v>7</v>
      </c>
      <c r="L34" s="435"/>
      <c r="M34" s="437"/>
      <c r="N34" s="437"/>
      <c r="P34" s="440" t="s">
        <v>540</v>
      </c>
      <c r="Q34" s="439">
        <v>4</v>
      </c>
      <c r="R34" s="440" t="s">
        <v>541</v>
      </c>
      <c r="S34" s="440" t="s">
        <v>542</v>
      </c>
      <c r="T34" s="440" t="s">
        <v>543</v>
      </c>
      <c r="V34" s="435" t="s">
        <v>544</v>
      </c>
      <c r="W34" s="437">
        <v>75</v>
      </c>
      <c r="X34" s="437">
        <v>107</v>
      </c>
      <c r="Y34" s="437">
        <v>18</v>
      </c>
      <c r="Z34" s="435" t="s">
        <v>545</v>
      </c>
      <c r="AB34" s="435"/>
      <c r="AC34" s="437"/>
      <c r="AD34" s="435"/>
    </row>
    <row r="35" spans="1:30" ht="12.75">
      <c r="A35" t="s">
        <v>546</v>
      </c>
      <c r="B35" s="411">
        <v>11.9</v>
      </c>
      <c r="C35" s="412">
        <f t="shared" si="0"/>
        <v>1047.9580828623382</v>
      </c>
      <c r="D35" s="411">
        <v>5</v>
      </c>
      <c r="E35" s="413">
        <v>3</v>
      </c>
      <c r="F35" s="411">
        <v>27</v>
      </c>
      <c r="H35" s="435" t="s">
        <v>547</v>
      </c>
      <c r="I35" s="436">
        <v>84.4</v>
      </c>
      <c r="J35" s="436">
        <v>20</v>
      </c>
      <c r="L35" s="435"/>
      <c r="M35" s="437"/>
      <c r="N35" s="437"/>
      <c r="P35" s="440" t="s">
        <v>548</v>
      </c>
      <c r="Q35" s="439">
        <v>3.8</v>
      </c>
      <c r="R35" s="440" t="s">
        <v>549</v>
      </c>
      <c r="S35" s="440" t="s">
        <v>550</v>
      </c>
      <c r="T35" s="440" t="s">
        <v>551</v>
      </c>
      <c r="V35" s="435" t="s">
        <v>552</v>
      </c>
      <c r="W35" s="437">
        <v>75</v>
      </c>
      <c r="X35" s="437">
        <v>107</v>
      </c>
      <c r="Y35" s="437">
        <v>18</v>
      </c>
      <c r="Z35" s="435" t="s">
        <v>553</v>
      </c>
      <c r="AB35" s="435"/>
      <c r="AC35" s="437"/>
      <c r="AD35" s="435"/>
    </row>
    <row r="36" spans="1:30" ht="12.75" customHeight="1">
      <c r="A36" t="s">
        <v>554</v>
      </c>
      <c r="B36" s="411">
        <v>11.9</v>
      </c>
      <c r="C36" s="412">
        <f t="shared" si="0"/>
        <v>1047.9580828623382</v>
      </c>
      <c r="D36" s="411">
        <v>4.6</v>
      </c>
      <c r="E36" s="413">
        <v>200</v>
      </c>
      <c r="F36" s="411">
        <v>45</v>
      </c>
      <c r="H36" s="435" t="s">
        <v>555</v>
      </c>
      <c r="I36" s="436">
        <v>79</v>
      </c>
      <c r="J36" s="436">
        <v>25</v>
      </c>
      <c r="L36" s="435"/>
      <c r="M36" s="437"/>
      <c r="N36" s="437"/>
      <c r="P36" s="440" t="s">
        <v>556</v>
      </c>
      <c r="Q36" s="439">
        <v>11</v>
      </c>
      <c r="R36" s="440" t="s">
        <v>557</v>
      </c>
      <c r="S36" s="440" t="s">
        <v>558</v>
      </c>
      <c r="T36" s="440" t="s">
        <v>332</v>
      </c>
      <c r="V36" s="435" t="s">
        <v>559</v>
      </c>
      <c r="W36" s="437">
        <v>73</v>
      </c>
      <c r="X36" s="437">
        <v>107</v>
      </c>
      <c r="Y36" s="437">
        <v>19</v>
      </c>
      <c r="Z36" s="435" t="s">
        <v>560</v>
      </c>
      <c r="AB36" s="435"/>
      <c r="AC36" s="437"/>
      <c r="AD36" s="435"/>
    </row>
    <row r="37" spans="1:30" ht="12.75">
      <c r="A37" t="s">
        <v>561</v>
      </c>
      <c r="B37" s="411">
        <v>17.6</v>
      </c>
      <c r="C37" s="412">
        <f t="shared" si="0"/>
        <v>1072.3922581086733</v>
      </c>
      <c r="D37" s="411">
        <v>7.2</v>
      </c>
      <c r="E37" s="413">
        <v>200</v>
      </c>
      <c r="F37" s="411">
        <v>65</v>
      </c>
      <c r="H37" s="435" t="s">
        <v>562</v>
      </c>
      <c r="I37" s="436">
        <v>78</v>
      </c>
      <c r="J37" s="436">
        <v>40</v>
      </c>
      <c r="L37" s="435"/>
      <c r="M37" s="437"/>
      <c r="N37" s="437"/>
      <c r="P37" s="440" t="s">
        <v>563</v>
      </c>
      <c r="Q37" s="439">
        <v>4</v>
      </c>
      <c r="R37" s="440" t="s">
        <v>564</v>
      </c>
      <c r="S37" s="440" t="s">
        <v>565</v>
      </c>
      <c r="T37" s="440" t="s">
        <v>566</v>
      </c>
      <c r="V37" s="435" t="s">
        <v>567</v>
      </c>
      <c r="W37" s="437">
        <v>74</v>
      </c>
      <c r="X37" s="437">
        <v>107</v>
      </c>
      <c r="Y37" s="437">
        <v>20</v>
      </c>
      <c r="Z37" s="435" t="s">
        <v>568</v>
      </c>
      <c r="AB37" s="435"/>
      <c r="AC37" s="437"/>
      <c r="AD37" s="435"/>
    </row>
    <row r="38" spans="1:30" ht="12.75" customHeight="1">
      <c r="A38" t="s">
        <v>569</v>
      </c>
      <c r="B38" s="411">
        <v>11.9</v>
      </c>
      <c r="C38" s="412">
        <f t="shared" si="0"/>
        <v>1047.9580828623382</v>
      </c>
      <c r="D38" s="411">
        <v>5</v>
      </c>
      <c r="E38" s="413">
        <v>5</v>
      </c>
      <c r="F38" s="411">
        <v>28</v>
      </c>
      <c r="H38" s="435" t="s">
        <v>570</v>
      </c>
      <c r="I38" s="436">
        <v>78</v>
      </c>
      <c r="J38" s="436">
        <v>60</v>
      </c>
      <c r="L38" s="435"/>
      <c r="M38" s="437"/>
      <c r="N38" s="437"/>
      <c r="P38" s="440" t="s">
        <v>571</v>
      </c>
      <c r="Q38" s="439">
        <v>5.5</v>
      </c>
      <c r="R38" s="440" t="s">
        <v>572</v>
      </c>
      <c r="S38" s="440" t="s">
        <v>573</v>
      </c>
      <c r="T38" s="440" t="s">
        <v>574</v>
      </c>
      <c r="V38" s="435" t="s">
        <v>575</v>
      </c>
      <c r="W38" s="437">
        <v>70</v>
      </c>
      <c r="X38" s="437">
        <v>106.5</v>
      </c>
      <c r="Y38" s="437">
        <v>21</v>
      </c>
      <c r="Z38" s="435" t="s">
        <v>576</v>
      </c>
      <c r="AB38" s="435"/>
      <c r="AC38" s="437"/>
      <c r="AD38" s="435"/>
    </row>
    <row r="39" spans="1:30" ht="12.75">
      <c r="A39" t="s">
        <v>577</v>
      </c>
      <c r="B39" s="411">
        <v>11.9</v>
      </c>
      <c r="C39" s="412">
        <f t="shared" si="0"/>
        <v>1047.9580828623382</v>
      </c>
      <c r="D39" s="411">
        <v>5</v>
      </c>
      <c r="E39" s="413">
        <v>8</v>
      </c>
      <c r="F39" s="411">
        <v>18</v>
      </c>
      <c r="H39" s="435" t="s">
        <v>578</v>
      </c>
      <c r="I39" s="436">
        <v>80.07</v>
      </c>
      <c r="J39" s="436">
        <v>70</v>
      </c>
      <c r="L39" s="435"/>
      <c r="M39" s="437"/>
      <c r="N39" s="437"/>
      <c r="P39" s="440" t="s">
        <v>579</v>
      </c>
      <c r="Q39" s="439">
        <v>6.5</v>
      </c>
      <c r="R39" s="440" t="s">
        <v>580</v>
      </c>
      <c r="S39" s="440" t="s">
        <v>487</v>
      </c>
      <c r="T39" s="440" t="s">
        <v>581</v>
      </c>
      <c r="V39" s="435" t="s">
        <v>582</v>
      </c>
      <c r="W39" s="437">
        <v>70</v>
      </c>
      <c r="X39" s="437">
        <v>106.5</v>
      </c>
      <c r="Y39" s="437">
        <v>21</v>
      </c>
      <c r="Z39" s="435" t="s">
        <v>583</v>
      </c>
      <c r="AB39" s="435"/>
      <c r="AC39" s="437"/>
      <c r="AD39" s="435"/>
    </row>
    <row r="40" spans="1:30" ht="12.75">
      <c r="A40" t="s">
        <v>584</v>
      </c>
      <c r="B40" s="411">
        <v>12.3</v>
      </c>
      <c r="C40" s="412">
        <f t="shared" si="0"/>
        <v>1049.6405028728232</v>
      </c>
      <c r="D40" s="411">
        <v>5.2</v>
      </c>
      <c r="E40" s="413">
        <v>3</v>
      </c>
      <c r="F40" s="411">
        <v>21</v>
      </c>
      <c r="H40" s="435" t="s">
        <v>585</v>
      </c>
      <c r="I40" s="436">
        <v>65</v>
      </c>
      <c r="J40" s="436">
        <v>800</v>
      </c>
      <c r="L40" s="435"/>
      <c r="M40" s="437"/>
      <c r="N40" s="437"/>
      <c r="P40" s="440" t="s">
        <v>586</v>
      </c>
      <c r="Q40" s="439">
        <v>5</v>
      </c>
      <c r="R40" s="440" t="s">
        <v>587</v>
      </c>
      <c r="S40" s="440" t="s">
        <v>588</v>
      </c>
      <c r="T40" s="440" t="s">
        <v>589</v>
      </c>
      <c r="V40" s="435" t="s">
        <v>590</v>
      </c>
      <c r="W40" s="437">
        <v>80</v>
      </c>
      <c r="X40" s="437">
        <v>107.5</v>
      </c>
      <c r="Y40" s="437">
        <v>21</v>
      </c>
      <c r="Z40" s="435" t="s">
        <v>591</v>
      </c>
      <c r="AB40" s="435"/>
      <c r="AC40" s="437"/>
      <c r="AD40" s="435"/>
    </row>
    <row r="41" spans="1:30" ht="12.75">
      <c r="A41" t="s">
        <v>592</v>
      </c>
      <c r="B41" s="411">
        <v>12.8</v>
      </c>
      <c r="C41" s="412">
        <f t="shared" si="0"/>
        <v>1051.7502584278532</v>
      </c>
      <c r="D41" s="411">
        <v>5.3</v>
      </c>
      <c r="E41" s="413">
        <v>60</v>
      </c>
      <c r="F41" s="411">
        <v>20</v>
      </c>
      <c r="H41" s="435" t="s">
        <v>593</v>
      </c>
      <c r="I41" s="436">
        <v>65</v>
      </c>
      <c r="J41" s="436">
        <v>900</v>
      </c>
      <c r="L41" s="435"/>
      <c r="M41" s="437"/>
      <c r="N41" s="437"/>
      <c r="P41" s="440" t="s">
        <v>594</v>
      </c>
      <c r="Q41" s="439">
        <v>10</v>
      </c>
      <c r="R41" s="440" t="s">
        <v>595</v>
      </c>
      <c r="S41" s="440" t="s">
        <v>596</v>
      </c>
      <c r="T41" s="440" t="s">
        <v>597</v>
      </c>
      <c r="V41" s="435" t="s">
        <v>598</v>
      </c>
      <c r="W41" s="437">
        <v>74</v>
      </c>
      <c r="X41" s="437">
        <v>107.5</v>
      </c>
      <c r="Y41" s="437">
        <v>19</v>
      </c>
      <c r="Z41" s="435" t="s">
        <v>599</v>
      </c>
      <c r="AB41" s="435"/>
      <c r="AC41" s="437"/>
      <c r="AD41" s="435"/>
    </row>
    <row r="42" spans="1:30" ht="12.75">
      <c r="A42" t="s">
        <v>600</v>
      </c>
      <c r="B42" s="411">
        <v>12.8</v>
      </c>
      <c r="C42" s="412">
        <f t="shared" si="0"/>
        <v>1051.7502584278532</v>
      </c>
      <c r="D42" s="411">
        <v>5.3</v>
      </c>
      <c r="E42" s="413">
        <v>60</v>
      </c>
      <c r="F42" s="411">
        <v>20</v>
      </c>
      <c r="H42" s="435" t="s">
        <v>601</v>
      </c>
      <c r="I42" s="436">
        <v>69.25</v>
      </c>
      <c r="J42" s="436">
        <v>1200</v>
      </c>
      <c r="L42" s="435"/>
      <c r="M42" s="437"/>
      <c r="N42" s="437"/>
      <c r="P42" s="440"/>
      <c r="Q42" s="439"/>
      <c r="R42" s="440"/>
      <c r="S42" s="440"/>
      <c r="T42" s="440"/>
      <c r="V42" s="435" t="s">
        <v>602</v>
      </c>
      <c r="W42" s="437">
        <v>74</v>
      </c>
      <c r="X42" s="437">
        <v>107.5</v>
      </c>
      <c r="Y42" s="437">
        <v>19</v>
      </c>
      <c r="Z42" s="435" t="s">
        <v>603</v>
      </c>
      <c r="AB42" s="435"/>
      <c r="AC42" s="437"/>
      <c r="AD42" s="435"/>
    </row>
    <row r="43" spans="1:30" ht="12.75">
      <c r="A43" t="s">
        <v>604</v>
      </c>
      <c r="B43" s="411">
        <v>12.8</v>
      </c>
      <c r="C43" s="412">
        <f t="shared" si="0"/>
        <v>1051.7502584278532</v>
      </c>
      <c r="D43" s="411">
        <v>5.4</v>
      </c>
      <c r="E43" s="413">
        <v>11</v>
      </c>
      <c r="F43" s="411">
        <v>24</v>
      </c>
      <c r="H43" s="435" t="s">
        <v>702</v>
      </c>
      <c r="I43" s="436">
        <v>80.07</v>
      </c>
      <c r="J43" s="436">
        <v>9</v>
      </c>
      <c r="L43" s="435"/>
      <c r="M43" s="437"/>
      <c r="N43" s="437"/>
      <c r="P43" s="440"/>
      <c r="Q43" s="439"/>
      <c r="R43" s="440"/>
      <c r="S43" s="440"/>
      <c r="T43" s="440"/>
      <c r="V43" s="435" t="s">
        <v>605</v>
      </c>
      <c r="W43" s="437">
        <v>73</v>
      </c>
      <c r="X43" s="437">
        <v>107</v>
      </c>
      <c r="Y43" s="437">
        <v>21</v>
      </c>
      <c r="Z43" s="435" t="s">
        <v>606</v>
      </c>
      <c r="AB43" s="435"/>
      <c r="AC43" s="437"/>
      <c r="AD43" s="435"/>
    </row>
    <row r="44" spans="1:30" ht="12.75">
      <c r="A44" t="s">
        <v>607</v>
      </c>
      <c r="B44" s="411">
        <v>15.3</v>
      </c>
      <c r="C44" s="412">
        <f t="shared" si="0"/>
        <v>1062.4125803202487</v>
      </c>
      <c r="D44" s="411">
        <v>6.6</v>
      </c>
      <c r="E44" s="413">
        <v>50</v>
      </c>
      <c r="F44" s="411">
        <v>23</v>
      </c>
      <c r="H44" s="435"/>
      <c r="I44" s="436"/>
      <c r="J44" s="436"/>
      <c r="L44" s="435"/>
      <c r="M44" s="437"/>
      <c r="N44" s="437"/>
      <c r="P44" s="440"/>
      <c r="Q44" s="439"/>
      <c r="R44" s="440"/>
      <c r="S44" s="440"/>
      <c r="T44" s="440"/>
      <c r="V44" s="435" t="s">
        <v>608</v>
      </c>
      <c r="W44" s="437">
        <v>75</v>
      </c>
      <c r="X44" s="437">
        <v>107.5</v>
      </c>
      <c r="Y44" s="437">
        <v>21</v>
      </c>
      <c r="Z44" s="435" t="s">
        <v>609</v>
      </c>
      <c r="AB44" s="435"/>
      <c r="AC44" s="437"/>
      <c r="AD44" s="435"/>
    </row>
    <row r="45" spans="1:30" ht="12.75">
      <c r="A45" t="s">
        <v>610</v>
      </c>
      <c r="B45" s="411">
        <v>20</v>
      </c>
      <c r="C45" s="412">
        <f t="shared" si="0"/>
        <v>1082.9844528627561</v>
      </c>
      <c r="D45" s="411">
        <v>10.1</v>
      </c>
      <c r="E45" s="413">
        <v>11</v>
      </c>
      <c r="F45" s="411">
        <v>33</v>
      </c>
      <c r="H45" s="435"/>
      <c r="I45" s="436"/>
      <c r="J45" s="436"/>
      <c r="L45" s="435"/>
      <c r="M45" s="437"/>
      <c r="N45" s="437"/>
      <c r="P45" s="440"/>
      <c r="Q45" s="439"/>
      <c r="R45" s="440"/>
      <c r="S45" s="440"/>
      <c r="T45" s="440"/>
      <c r="V45" s="435" t="s">
        <v>611</v>
      </c>
      <c r="W45" s="437">
        <v>69</v>
      </c>
      <c r="X45" s="437">
        <v>106.5</v>
      </c>
      <c r="Y45" s="437">
        <v>20</v>
      </c>
      <c r="Z45" s="435" t="s">
        <v>612</v>
      </c>
      <c r="AB45" s="435"/>
      <c r="AC45" s="437"/>
      <c r="AD45" s="435"/>
    </row>
    <row r="46" spans="1:30" ht="12.75">
      <c r="A46" t="s">
        <v>613</v>
      </c>
      <c r="B46" s="411">
        <v>11.4</v>
      </c>
      <c r="C46" s="412">
        <f t="shared" si="0"/>
        <v>1045.861755049711</v>
      </c>
      <c r="D46" s="411">
        <v>4.8</v>
      </c>
      <c r="E46" s="413">
        <v>3</v>
      </c>
      <c r="F46" s="411">
        <v>28</v>
      </c>
      <c r="H46" s="435"/>
      <c r="I46" s="436"/>
      <c r="J46" s="436"/>
      <c r="L46" s="435"/>
      <c r="M46" s="437"/>
      <c r="N46" s="437"/>
      <c r="P46" s="440"/>
      <c r="Q46" s="439"/>
      <c r="R46" s="440"/>
      <c r="S46" s="440"/>
      <c r="T46" s="440"/>
      <c r="V46" s="435" t="s">
        <v>614</v>
      </c>
      <c r="W46" s="437">
        <v>79</v>
      </c>
      <c r="X46" s="437">
        <v>107.5</v>
      </c>
      <c r="Y46" s="437">
        <v>20</v>
      </c>
      <c r="Z46" s="435" t="s">
        <v>615</v>
      </c>
      <c r="AB46" s="435"/>
      <c r="AC46" s="437"/>
      <c r="AD46" s="435"/>
    </row>
    <row r="47" spans="1:30" ht="12.75" customHeight="1">
      <c r="A47" t="s">
        <v>616</v>
      </c>
      <c r="B47" s="411">
        <v>10.9</v>
      </c>
      <c r="C47" s="412">
        <f t="shared" si="0"/>
        <v>1043.772831773518</v>
      </c>
      <c r="D47" s="411">
        <v>5</v>
      </c>
      <c r="E47" s="413">
        <v>24</v>
      </c>
      <c r="F47" s="411">
        <v>50</v>
      </c>
      <c r="H47" s="435"/>
      <c r="I47" s="436"/>
      <c r="J47" s="436"/>
      <c r="L47" s="435"/>
      <c r="M47" s="437"/>
      <c r="N47" s="437"/>
      <c r="P47" s="440"/>
      <c r="Q47" s="439"/>
      <c r="R47" s="440"/>
      <c r="S47" s="440"/>
      <c r="T47" s="440"/>
      <c r="V47" s="435" t="s">
        <v>617</v>
      </c>
      <c r="W47" s="437">
        <v>71</v>
      </c>
      <c r="X47" s="437">
        <v>107</v>
      </c>
      <c r="Y47" s="437">
        <v>18</v>
      </c>
      <c r="Z47" s="435" t="s">
        <v>618</v>
      </c>
      <c r="AB47" s="435"/>
      <c r="AC47" s="437"/>
      <c r="AD47" s="435"/>
    </row>
    <row r="48" spans="1:30" ht="14.25" customHeight="1">
      <c r="A48" t="s">
        <v>619</v>
      </c>
      <c r="B48" s="411">
        <v>15.8</v>
      </c>
      <c r="C48" s="412">
        <f t="shared" si="0"/>
        <v>1064.5680392047325</v>
      </c>
      <c r="D48" s="411">
        <v>7.4</v>
      </c>
      <c r="E48" s="413">
        <v>76</v>
      </c>
      <c r="F48" s="411">
        <v>26</v>
      </c>
      <c r="H48" s="435"/>
      <c r="I48" s="436"/>
      <c r="J48" s="436"/>
      <c r="L48" s="435"/>
      <c r="M48" s="437"/>
      <c r="N48" s="437"/>
      <c r="P48" s="440"/>
      <c r="Q48" s="439"/>
      <c r="R48" s="440"/>
      <c r="S48" s="440"/>
      <c r="T48" s="440"/>
      <c r="V48" s="435" t="s">
        <v>620</v>
      </c>
      <c r="W48" s="437">
        <v>80</v>
      </c>
      <c r="X48" s="437">
        <v>107.5</v>
      </c>
      <c r="Y48" s="437">
        <v>22</v>
      </c>
      <c r="Z48" s="435" t="s">
        <v>621</v>
      </c>
      <c r="AB48" s="435"/>
      <c r="AC48" s="437"/>
      <c r="AD48" s="435"/>
    </row>
    <row r="49" spans="1:30" ht="12.75">
      <c r="A49" t="s">
        <v>622</v>
      </c>
      <c r="B49" s="411">
        <v>13.5</v>
      </c>
      <c r="C49" s="412">
        <f t="shared" si="0"/>
        <v>1054.7165515440556</v>
      </c>
      <c r="D49" s="411">
        <v>5.7</v>
      </c>
      <c r="E49" s="413">
        <v>32</v>
      </c>
      <c r="F49" s="411">
        <v>22</v>
      </c>
      <c r="H49" s="435"/>
      <c r="I49" s="436"/>
      <c r="J49" s="436"/>
      <c r="L49" s="435"/>
      <c r="M49" s="437"/>
      <c r="N49" s="437"/>
      <c r="P49" s="440"/>
      <c r="Q49" s="439"/>
      <c r="R49" s="440"/>
      <c r="S49" s="440"/>
      <c r="T49" s="440"/>
      <c r="V49" s="435" t="s">
        <v>623</v>
      </c>
      <c r="W49" s="437">
        <v>69</v>
      </c>
      <c r="X49" s="437">
        <v>106.5</v>
      </c>
      <c r="Y49" s="437">
        <v>20</v>
      </c>
      <c r="Z49" s="435" t="s">
        <v>624</v>
      </c>
      <c r="AB49" s="435"/>
      <c r="AC49" s="437"/>
      <c r="AD49" s="435"/>
    </row>
    <row r="50" spans="1:30" ht="12.75">
      <c r="A50" t="s">
        <v>625</v>
      </c>
      <c r="B50" s="411">
        <v>17.4</v>
      </c>
      <c r="C50" s="412">
        <f t="shared" si="0"/>
        <v>1071.5178718846105</v>
      </c>
      <c r="D50" s="411">
        <v>7.5</v>
      </c>
      <c r="E50" s="413">
        <v>60</v>
      </c>
      <c r="F50" s="411">
        <v>30</v>
      </c>
      <c r="H50" s="435"/>
      <c r="I50" s="436"/>
      <c r="J50" s="436"/>
      <c r="L50" s="435"/>
      <c r="M50" s="437"/>
      <c r="N50" s="437"/>
      <c r="P50" s="440"/>
      <c r="Q50" s="439"/>
      <c r="R50" s="440"/>
      <c r="S50" s="440"/>
      <c r="T50" s="440"/>
      <c r="V50" s="435" t="s">
        <v>626</v>
      </c>
      <c r="W50" s="437">
        <v>73</v>
      </c>
      <c r="X50" s="437">
        <v>107</v>
      </c>
      <c r="Y50" s="437">
        <v>11</v>
      </c>
      <c r="Z50" s="435" t="s">
        <v>627</v>
      </c>
      <c r="AB50" s="435"/>
      <c r="AC50" s="437"/>
      <c r="AD50" s="435"/>
    </row>
    <row r="51" spans="1:30" ht="12.75">
      <c r="A51" t="s">
        <v>628</v>
      </c>
      <c r="B51" s="411">
        <v>11.9</v>
      </c>
      <c r="C51" s="412">
        <f t="shared" si="0"/>
        <v>1047.9580828623382</v>
      </c>
      <c r="D51" s="411">
        <v>5</v>
      </c>
      <c r="E51" s="413">
        <v>6</v>
      </c>
      <c r="F51" s="411">
        <v>40</v>
      </c>
      <c r="H51" s="435"/>
      <c r="I51" s="436"/>
      <c r="J51" s="436"/>
      <c r="L51" s="435"/>
      <c r="M51" s="437"/>
      <c r="N51" s="437"/>
      <c r="P51" s="440"/>
      <c r="Q51" s="439"/>
      <c r="R51" s="440"/>
      <c r="S51" s="440"/>
      <c r="T51" s="440"/>
      <c r="V51" s="435" t="s">
        <v>629</v>
      </c>
      <c r="W51" s="437">
        <v>73</v>
      </c>
      <c r="X51" s="437">
        <v>107</v>
      </c>
      <c r="Y51" s="437">
        <v>11</v>
      </c>
      <c r="Z51" s="435" t="s">
        <v>630</v>
      </c>
      <c r="AB51" s="435"/>
      <c r="AC51" s="437"/>
      <c r="AD51" s="435"/>
    </row>
    <row r="52" spans="1:30" ht="12.75">
      <c r="A52" t="s">
        <v>631</v>
      </c>
      <c r="B52" s="411">
        <v>12.3</v>
      </c>
      <c r="C52" s="412">
        <f t="shared" si="0"/>
        <v>1049.6405028728232</v>
      </c>
      <c r="D52" s="411">
        <v>5.2</v>
      </c>
      <c r="E52" s="413">
        <v>9</v>
      </c>
      <c r="F52" s="411">
        <v>18</v>
      </c>
      <c r="H52" s="435"/>
      <c r="I52" s="436"/>
      <c r="J52" s="436"/>
      <c r="L52" s="435"/>
      <c r="M52" s="437"/>
      <c r="N52" s="437"/>
      <c r="P52" s="440"/>
      <c r="Q52" s="439"/>
      <c r="R52" s="440"/>
      <c r="S52" s="440"/>
      <c r="T52" s="440"/>
      <c r="V52" s="435" t="s">
        <v>632</v>
      </c>
      <c r="W52" s="437">
        <v>73</v>
      </c>
      <c r="X52" s="437">
        <v>107</v>
      </c>
      <c r="Y52" s="437">
        <v>11</v>
      </c>
      <c r="Z52" s="435" t="s">
        <v>633</v>
      </c>
      <c r="AB52" s="435"/>
      <c r="AC52" s="437"/>
      <c r="AD52" s="435"/>
    </row>
    <row r="53" spans="1:30" ht="13.5" customHeight="1">
      <c r="A53" t="s">
        <v>634</v>
      </c>
      <c r="B53" s="411">
        <v>11.9</v>
      </c>
      <c r="C53" s="412">
        <f t="shared" si="0"/>
        <v>1047.9580828623382</v>
      </c>
      <c r="D53" s="411">
        <v>4.8</v>
      </c>
      <c r="E53" s="413">
        <v>60</v>
      </c>
      <c r="F53" s="411">
        <v>14</v>
      </c>
      <c r="H53" s="435"/>
      <c r="I53" s="436"/>
      <c r="J53" s="436"/>
      <c r="L53" s="435"/>
      <c r="M53" s="437"/>
      <c r="N53" s="437"/>
      <c r="P53" s="440"/>
      <c r="Q53" s="439"/>
      <c r="R53" s="440"/>
      <c r="S53" s="440"/>
      <c r="T53" s="440"/>
      <c r="V53" s="435" t="s">
        <v>635</v>
      </c>
      <c r="W53" s="437">
        <v>77</v>
      </c>
      <c r="X53" s="437">
        <v>107.5</v>
      </c>
      <c r="Y53" s="437">
        <v>12</v>
      </c>
      <c r="Z53" s="435" t="s">
        <v>636</v>
      </c>
      <c r="AB53" s="435"/>
      <c r="AC53" s="437"/>
      <c r="AD53" s="435"/>
    </row>
    <row r="54" spans="1:30" ht="12" customHeight="1">
      <c r="A54" t="s">
        <v>637</v>
      </c>
      <c r="B54" s="411">
        <v>15.8</v>
      </c>
      <c r="C54" s="412">
        <f t="shared" si="0"/>
        <v>1064.5680392047325</v>
      </c>
      <c r="D54" s="411">
        <v>6.6</v>
      </c>
      <c r="E54" s="413">
        <v>60</v>
      </c>
      <c r="F54" s="411">
        <v>14</v>
      </c>
      <c r="H54" s="435"/>
      <c r="I54" s="436"/>
      <c r="J54" s="436"/>
      <c r="L54" s="435"/>
      <c r="M54" s="437"/>
      <c r="N54" s="437"/>
      <c r="P54" s="440"/>
      <c r="Q54" s="439"/>
      <c r="R54" s="440"/>
      <c r="S54" s="440"/>
      <c r="T54" s="440"/>
      <c r="V54" s="435" t="s">
        <v>638</v>
      </c>
      <c r="W54" s="437">
        <v>75</v>
      </c>
      <c r="X54" s="437">
        <v>107.5</v>
      </c>
      <c r="Y54" s="437">
        <v>11</v>
      </c>
      <c r="Z54" s="435" t="s">
        <v>639</v>
      </c>
      <c r="AB54" s="435"/>
      <c r="AC54" s="437"/>
      <c r="AD54" s="435"/>
    </row>
    <row r="55" spans="1:30" ht="12.75">
      <c r="A55" t="s">
        <v>640</v>
      </c>
      <c r="B55" s="411">
        <v>15.1</v>
      </c>
      <c r="C55" s="412">
        <f t="shared" si="0"/>
        <v>1061.5525606181134</v>
      </c>
      <c r="D55" s="411">
        <v>6.4</v>
      </c>
      <c r="E55" s="413">
        <v>35</v>
      </c>
      <c r="F55" s="411">
        <v>25</v>
      </c>
      <c r="H55" s="435"/>
      <c r="I55" s="436"/>
      <c r="J55" s="436"/>
      <c r="L55" s="435"/>
      <c r="M55" s="437"/>
      <c r="N55" s="437"/>
      <c r="P55" s="440"/>
      <c r="Q55" s="439"/>
      <c r="R55" s="440"/>
      <c r="S55" s="440"/>
      <c r="T55" s="440"/>
      <c r="V55" s="435" t="s">
        <v>641</v>
      </c>
      <c r="W55" s="437">
        <v>69</v>
      </c>
      <c r="X55" s="437">
        <v>106.5</v>
      </c>
      <c r="Y55" s="437">
        <v>17</v>
      </c>
      <c r="Z55" s="435" t="s">
        <v>642</v>
      </c>
      <c r="AB55" s="435"/>
      <c r="AC55" s="437"/>
      <c r="AD55" s="435"/>
    </row>
    <row r="56" spans="1:30" ht="12.75">
      <c r="A56" t="s">
        <v>643</v>
      </c>
      <c r="B56" s="411">
        <v>19</v>
      </c>
      <c r="C56" s="412">
        <f t="shared" si="0"/>
        <v>1078.5485712324953</v>
      </c>
      <c r="D56" s="411">
        <v>8.5</v>
      </c>
      <c r="E56" s="413">
        <v>6</v>
      </c>
      <c r="F56" s="411">
        <v>27</v>
      </c>
      <c r="H56" s="435"/>
      <c r="I56" s="436"/>
      <c r="J56" s="436"/>
      <c r="L56" s="435"/>
      <c r="M56" s="437"/>
      <c r="N56" s="437"/>
      <c r="P56" s="440"/>
      <c r="Q56" s="439"/>
      <c r="R56" s="440"/>
      <c r="S56" s="440"/>
      <c r="T56" s="440"/>
      <c r="V56" s="435" t="s">
        <v>644</v>
      </c>
      <c r="W56" s="437">
        <v>71</v>
      </c>
      <c r="X56" s="437">
        <v>107</v>
      </c>
      <c r="Y56" s="437">
        <v>11</v>
      </c>
      <c r="Z56" s="435" t="s">
        <v>645</v>
      </c>
      <c r="AB56" s="435"/>
      <c r="AC56" s="437"/>
      <c r="AD56" s="435"/>
    </row>
    <row r="57" spans="8:30" ht="12.75">
      <c r="H57" s="435"/>
      <c r="I57" s="436"/>
      <c r="J57" s="436"/>
      <c r="L57" s="435"/>
      <c r="M57" s="437"/>
      <c r="N57" s="437"/>
      <c r="P57" s="440"/>
      <c r="Q57" s="439"/>
      <c r="R57" s="440"/>
      <c r="S57" s="440"/>
      <c r="T57" s="440"/>
      <c r="V57" s="435" t="s">
        <v>646</v>
      </c>
      <c r="W57" s="437">
        <v>75</v>
      </c>
      <c r="X57" s="437">
        <v>107.5</v>
      </c>
      <c r="Y57" s="437">
        <v>11</v>
      </c>
      <c r="Z57" s="435" t="s">
        <v>647</v>
      </c>
      <c r="AB57" s="435"/>
      <c r="AC57" s="437"/>
      <c r="AD57" s="435"/>
    </row>
    <row r="58" spans="8:30" ht="12.75">
      <c r="H58" s="435"/>
      <c r="I58" s="436"/>
      <c r="J58" s="436"/>
      <c r="L58" s="435"/>
      <c r="M58" s="437"/>
      <c r="N58" s="437"/>
      <c r="P58" s="440"/>
      <c r="Q58" s="439"/>
      <c r="R58" s="440"/>
      <c r="S58" s="440"/>
      <c r="T58" s="440"/>
      <c r="V58" s="435" t="s">
        <v>648</v>
      </c>
      <c r="W58" s="437">
        <v>72</v>
      </c>
      <c r="X58" s="437">
        <v>107.5</v>
      </c>
      <c r="Y58" s="437">
        <v>11</v>
      </c>
      <c r="Z58" s="435" t="s">
        <v>649</v>
      </c>
      <c r="AB58" s="435"/>
      <c r="AC58" s="437"/>
      <c r="AD58" s="435"/>
    </row>
    <row r="59" spans="8:30" ht="12.75">
      <c r="H59" s="435"/>
      <c r="I59" s="436"/>
      <c r="J59" s="436"/>
      <c r="L59" s="435"/>
      <c r="M59" s="437"/>
      <c r="N59" s="437"/>
      <c r="P59" s="440"/>
      <c r="Q59" s="439"/>
      <c r="R59" s="440"/>
      <c r="S59" s="440"/>
      <c r="T59" s="440"/>
      <c r="V59" s="435" t="s">
        <v>650</v>
      </c>
      <c r="W59" s="437">
        <v>75</v>
      </c>
      <c r="X59" s="437">
        <v>107.5</v>
      </c>
      <c r="Y59" s="437">
        <v>11</v>
      </c>
      <c r="Z59" s="435" t="s">
        <v>651</v>
      </c>
      <c r="AB59" s="435"/>
      <c r="AC59" s="437"/>
      <c r="AD59" s="435"/>
    </row>
    <row r="60" spans="8:30" ht="12.75">
      <c r="H60" s="435"/>
      <c r="I60" s="436"/>
      <c r="J60" s="436"/>
      <c r="L60" s="435"/>
      <c r="M60" s="437"/>
      <c r="N60" s="437"/>
      <c r="P60" s="440"/>
      <c r="Q60" s="439"/>
      <c r="R60" s="440"/>
      <c r="S60" s="440"/>
      <c r="T60" s="440"/>
      <c r="V60" s="435" t="s">
        <v>652</v>
      </c>
      <c r="W60" s="437">
        <v>75</v>
      </c>
      <c r="X60" s="437">
        <v>107.5</v>
      </c>
      <c r="Y60" s="437">
        <v>21</v>
      </c>
      <c r="Z60" s="435" t="s">
        <v>653</v>
      </c>
      <c r="AB60" s="435"/>
      <c r="AC60" s="437"/>
      <c r="AD60" s="435"/>
    </row>
    <row r="61" spans="8:30" ht="12.75">
      <c r="H61" s="435"/>
      <c r="I61" s="436"/>
      <c r="J61" s="436"/>
      <c r="L61" s="435"/>
      <c r="M61" s="437"/>
      <c r="N61" s="437"/>
      <c r="P61" s="440"/>
      <c r="Q61" s="439"/>
      <c r="R61" s="440"/>
      <c r="S61" s="440"/>
      <c r="T61" s="440"/>
      <c r="V61" s="435" t="s">
        <v>654</v>
      </c>
      <c r="W61" s="437">
        <v>76</v>
      </c>
      <c r="X61" s="437">
        <v>107.5</v>
      </c>
      <c r="Y61" s="437">
        <v>22</v>
      </c>
      <c r="Z61" s="435" t="s">
        <v>655</v>
      </c>
      <c r="AB61" s="435"/>
      <c r="AC61" s="437"/>
      <c r="AD61" s="435"/>
    </row>
    <row r="62" spans="8:30" ht="12.75">
      <c r="H62" s="435"/>
      <c r="I62" s="436"/>
      <c r="J62" s="436"/>
      <c r="L62" s="435"/>
      <c r="M62" s="437"/>
      <c r="N62" s="437"/>
      <c r="P62" s="440"/>
      <c r="Q62" s="439"/>
      <c r="R62" s="440"/>
      <c r="S62" s="440"/>
      <c r="T62" s="440"/>
      <c r="V62" s="435" t="s">
        <v>656</v>
      </c>
      <c r="W62" s="437">
        <v>74</v>
      </c>
      <c r="X62" s="437">
        <v>107.5</v>
      </c>
      <c r="Y62" s="437">
        <v>22</v>
      </c>
      <c r="Z62" s="435" t="s">
        <v>657</v>
      </c>
      <c r="AB62" s="435"/>
      <c r="AC62" s="437"/>
      <c r="AD62" s="435"/>
    </row>
    <row r="63" spans="8:30" ht="12.75">
      <c r="H63" s="435"/>
      <c r="I63" s="436"/>
      <c r="J63" s="436"/>
      <c r="L63" s="435"/>
      <c r="M63" s="437"/>
      <c r="N63" s="437"/>
      <c r="P63" s="440"/>
      <c r="Q63" s="439"/>
      <c r="R63" s="440"/>
      <c r="S63" s="440"/>
      <c r="T63" s="440"/>
      <c r="V63" s="435" t="s">
        <v>658</v>
      </c>
      <c r="W63" s="437">
        <v>77</v>
      </c>
      <c r="X63" s="437">
        <v>107.5</v>
      </c>
      <c r="Y63" s="437">
        <v>21</v>
      </c>
      <c r="Z63" s="435" t="s">
        <v>659</v>
      </c>
      <c r="AB63" s="435"/>
      <c r="AC63" s="437"/>
      <c r="AD63" s="435"/>
    </row>
    <row r="64" spans="8:30" ht="12.75">
      <c r="H64" s="435"/>
      <c r="I64" s="436"/>
      <c r="J64" s="436"/>
      <c r="L64" s="435"/>
      <c r="M64" s="437"/>
      <c r="N64" s="437"/>
      <c r="P64" s="440"/>
      <c r="Q64" s="439"/>
      <c r="R64" s="440"/>
      <c r="S64" s="440"/>
      <c r="T64" s="440"/>
      <c r="V64" s="435" t="s">
        <v>660</v>
      </c>
      <c r="W64" s="437">
        <v>82.5</v>
      </c>
      <c r="X64" s="437">
        <v>107.5</v>
      </c>
      <c r="Y64" s="437">
        <v>24</v>
      </c>
      <c r="Z64" s="435" t="s">
        <v>661</v>
      </c>
      <c r="AB64" s="435"/>
      <c r="AC64" s="437"/>
      <c r="AD64" s="435"/>
    </row>
    <row r="65" spans="8:30" ht="12.75">
      <c r="H65" s="435"/>
      <c r="I65" s="436"/>
      <c r="J65" s="436"/>
      <c r="L65" s="435"/>
      <c r="M65" s="437"/>
      <c r="N65" s="437"/>
      <c r="P65" s="440"/>
      <c r="Q65" s="439"/>
      <c r="R65" s="440"/>
      <c r="S65" s="440"/>
      <c r="T65" s="440"/>
      <c r="V65" s="435" t="s">
        <v>662</v>
      </c>
      <c r="W65" s="437">
        <v>80</v>
      </c>
      <c r="X65" s="437">
        <v>107.5</v>
      </c>
      <c r="Y65" s="437">
        <v>23</v>
      </c>
      <c r="Z65" s="435" t="s">
        <v>663</v>
      </c>
      <c r="AB65" s="435"/>
      <c r="AC65" s="437"/>
      <c r="AD65" s="435"/>
    </row>
    <row r="66" spans="8:30" ht="12.75">
      <c r="H66" s="435"/>
      <c r="I66" s="436"/>
      <c r="J66" s="436"/>
      <c r="L66" s="435"/>
      <c r="M66" s="437"/>
      <c r="N66" s="437"/>
      <c r="P66" s="440"/>
      <c r="Q66" s="439"/>
      <c r="R66" s="440"/>
      <c r="S66" s="440"/>
      <c r="T66" s="440"/>
      <c r="V66" s="435" t="s">
        <v>664</v>
      </c>
      <c r="W66" s="437">
        <v>75</v>
      </c>
      <c r="X66" s="437">
        <v>107.5</v>
      </c>
      <c r="Y66" s="437">
        <v>22</v>
      </c>
      <c r="Z66" s="435" t="s">
        <v>665</v>
      </c>
      <c r="AB66" s="435"/>
      <c r="AC66" s="437"/>
      <c r="AD66" s="435"/>
    </row>
    <row r="67" spans="8:30" ht="12.75">
      <c r="H67" s="435"/>
      <c r="I67" s="436"/>
      <c r="J67" s="436"/>
      <c r="L67" s="435"/>
      <c r="M67" s="437"/>
      <c r="N67" s="437"/>
      <c r="P67" s="440"/>
      <c r="Q67" s="439"/>
      <c r="R67" s="440"/>
      <c r="S67" s="440"/>
      <c r="T67" s="440"/>
      <c r="V67" s="435" t="s">
        <v>666</v>
      </c>
      <c r="W67" s="437">
        <v>79</v>
      </c>
      <c r="X67" s="437">
        <v>107.5</v>
      </c>
      <c r="Y67" s="437">
        <v>20</v>
      </c>
      <c r="Z67" s="435" t="s">
        <v>667</v>
      </c>
      <c r="AB67" s="435"/>
      <c r="AC67" s="437"/>
      <c r="AD67" s="435"/>
    </row>
    <row r="68" spans="8:30" ht="12.75">
      <c r="H68" s="435"/>
      <c r="I68" s="436"/>
      <c r="J68" s="436"/>
      <c r="L68" s="435"/>
      <c r="M68" s="437"/>
      <c r="N68" s="437"/>
      <c r="P68" s="440"/>
      <c r="Q68" s="439"/>
      <c r="R68" s="440"/>
      <c r="S68" s="440"/>
      <c r="T68" s="440"/>
      <c r="V68" s="435" t="s">
        <v>668</v>
      </c>
      <c r="W68" s="437">
        <v>81</v>
      </c>
      <c r="X68" s="437">
        <v>107.5</v>
      </c>
      <c r="Y68" s="437" t="s">
        <v>669</v>
      </c>
      <c r="Z68" s="435" t="s">
        <v>670</v>
      </c>
      <c r="AB68" s="435"/>
      <c r="AC68" s="437"/>
      <c r="AD68" s="435"/>
    </row>
    <row r="69" spans="8:30" ht="12.75">
      <c r="H69" s="435"/>
      <c r="I69" s="436"/>
      <c r="J69" s="436"/>
      <c r="L69" s="435"/>
      <c r="M69" s="437"/>
      <c r="N69" s="437"/>
      <c r="P69" s="440"/>
      <c r="Q69" s="439"/>
      <c r="R69" s="440"/>
      <c r="S69" s="440"/>
      <c r="T69" s="440"/>
      <c r="V69" s="435" t="s">
        <v>671</v>
      </c>
      <c r="W69" s="437">
        <v>79</v>
      </c>
      <c r="X69" s="437">
        <v>107.5</v>
      </c>
      <c r="Y69" s="437" t="s">
        <v>672</v>
      </c>
      <c r="Z69" s="435" t="s">
        <v>673</v>
      </c>
      <c r="AB69" s="435"/>
      <c r="AC69" s="437"/>
      <c r="AD69" s="435"/>
    </row>
    <row r="70" spans="8:30" ht="12.75">
      <c r="H70" s="435"/>
      <c r="I70" s="436"/>
      <c r="J70" s="436"/>
      <c r="L70" s="435"/>
      <c r="M70" s="437"/>
      <c r="N70" s="437"/>
      <c r="P70" s="440"/>
      <c r="Q70" s="439"/>
      <c r="R70" s="440"/>
      <c r="S70" s="440"/>
      <c r="T70" s="440"/>
      <c r="V70" s="435" t="s">
        <v>674</v>
      </c>
      <c r="W70" s="437">
        <v>78</v>
      </c>
      <c r="X70" s="437">
        <v>106</v>
      </c>
      <c r="Y70" s="437" t="s">
        <v>480</v>
      </c>
      <c r="Z70" s="435" t="s">
        <v>675</v>
      </c>
      <c r="AB70" s="435"/>
      <c r="AC70" s="437"/>
      <c r="AD70" s="435"/>
    </row>
    <row r="71" spans="8:30" ht="12.75">
      <c r="H71" s="435"/>
      <c r="I71" s="436"/>
      <c r="J71" s="436"/>
      <c r="L71" s="435"/>
      <c r="M71" s="437"/>
      <c r="N71" s="437"/>
      <c r="P71" s="440"/>
      <c r="Q71" s="439"/>
      <c r="R71" s="440"/>
      <c r="S71" s="440"/>
      <c r="T71" s="440"/>
      <c r="V71" s="435" t="s">
        <v>676</v>
      </c>
      <c r="W71" s="437">
        <v>80</v>
      </c>
      <c r="X71" s="437">
        <v>107.5</v>
      </c>
      <c r="Y71" s="437" t="s">
        <v>669</v>
      </c>
      <c r="Z71" s="435" t="s">
        <v>677</v>
      </c>
      <c r="AB71" s="435"/>
      <c r="AC71" s="437"/>
      <c r="AD71" s="435"/>
    </row>
    <row r="72" spans="8:30" ht="12.75">
      <c r="H72" s="435"/>
      <c r="I72" s="436"/>
      <c r="J72" s="436"/>
      <c r="L72" s="435"/>
      <c r="M72" s="437"/>
      <c r="N72" s="437"/>
      <c r="P72" s="440"/>
      <c r="Q72" s="439"/>
      <c r="R72" s="440"/>
      <c r="S72" s="440"/>
      <c r="T72" s="440"/>
      <c r="V72" s="435" t="s">
        <v>678</v>
      </c>
      <c r="W72" s="437">
        <v>79</v>
      </c>
      <c r="X72" s="437">
        <v>107.5</v>
      </c>
      <c r="Y72" s="437">
        <v>21</v>
      </c>
      <c r="Z72" s="435" t="s">
        <v>679</v>
      </c>
      <c r="AB72" s="435"/>
      <c r="AC72" s="437"/>
      <c r="AD72" s="435"/>
    </row>
    <row r="73" spans="8:30" ht="12.75">
      <c r="H73" s="435"/>
      <c r="I73" s="436"/>
      <c r="J73" s="436"/>
      <c r="L73" s="435"/>
      <c r="M73" s="437"/>
      <c r="N73" s="437"/>
      <c r="P73" s="440"/>
      <c r="Q73" s="439"/>
      <c r="R73" s="440"/>
      <c r="S73" s="440"/>
      <c r="T73" s="440"/>
      <c r="V73" s="435" t="s">
        <v>680</v>
      </c>
      <c r="W73" s="437">
        <v>74</v>
      </c>
      <c r="X73" s="437">
        <v>107.5</v>
      </c>
      <c r="Y73" s="437">
        <v>20</v>
      </c>
      <c r="Z73" s="435" t="s">
        <v>681</v>
      </c>
      <c r="AB73" s="435"/>
      <c r="AC73" s="437"/>
      <c r="AD73" s="435"/>
    </row>
    <row r="74" spans="8:30" ht="12.75">
      <c r="H74" s="435"/>
      <c r="I74" s="436"/>
      <c r="J74" s="436"/>
      <c r="L74" s="435"/>
      <c r="M74" s="437"/>
      <c r="N74" s="437"/>
      <c r="P74" s="440"/>
      <c r="Q74" s="439"/>
      <c r="R74" s="440"/>
      <c r="S74" s="440"/>
      <c r="T74" s="440"/>
      <c r="V74" s="435" t="s">
        <v>682</v>
      </c>
      <c r="W74" s="437">
        <v>74</v>
      </c>
      <c r="X74" s="437">
        <v>107.5</v>
      </c>
      <c r="Y74" s="437">
        <v>21</v>
      </c>
      <c r="Z74" s="435" t="s">
        <v>683</v>
      </c>
      <c r="AB74" s="435"/>
      <c r="AC74" s="437"/>
      <c r="AD74" s="435"/>
    </row>
    <row r="75" spans="8:30" ht="12.75">
      <c r="H75" s="435"/>
      <c r="I75" s="436"/>
      <c r="J75" s="436"/>
      <c r="L75" s="435"/>
      <c r="M75" s="437"/>
      <c r="N75" s="437"/>
      <c r="P75" s="440"/>
      <c r="Q75" s="439"/>
      <c r="R75" s="440"/>
      <c r="S75" s="440"/>
      <c r="T75" s="440"/>
      <c r="V75" s="435" t="s">
        <v>684</v>
      </c>
      <c r="W75" s="437">
        <v>85</v>
      </c>
      <c r="X75" s="437">
        <v>107.5</v>
      </c>
      <c r="Y75" s="437">
        <v>22</v>
      </c>
      <c r="Z75" s="435" t="s">
        <v>685</v>
      </c>
      <c r="AB75" s="435"/>
      <c r="AC75" s="437"/>
      <c r="AD75" s="435"/>
    </row>
    <row r="76" spans="8:30" ht="12.75">
      <c r="H76" s="435"/>
      <c r="I76" s="436"/>
      <c r="J76" s="436"/>
      <c r="L76" s="435"/>
      <c r="M76" s="437"/>
      <c r="N76" s="437"/>
      <c r="P76" s="440"/>
      <c r="Q76" s="439"/>
      <c r="R76" s="440"/>
      <c r="S76" s="440"/>
      <c r="T76" s="440"/>
      <c r="V76" s="435" t="s">
        <v>686</v>
      </c>
      <c r="W76" s="437">
        <v>45</v>
      </c>
      <c r="X76" s="437">
        <v>107.5</v>
      </c>
      <c r="Y76" s="437">
        <v>18</v>
      </c>
      <c r="Z76" s="435" t="s">
        <v>687</v>
      </c>
      <c r="AB76" s="435"/>
      <c r="AC76" s="437"/>
      <c r="AD76" s="435"/>
    </row>
    <row r="77" spans="8:30" ht="12.75">
      <c r="H77" s="435"/>
      <c r="I77" s="436"/>
      <c r="J77" s="436"/>
      <c r="L77" s="435"/>
      <c r="M77" s="437"/>
      <c r="N77" s="437"/>
      <c r="P77" s="440"/>
      <c r="Q77" s="439"/>
      <c r="R77" s="440"/>
      <c r="S77" s="440"/>
      <c r="T77" s="440"/>
      <c r="V77" s="435"/>
      <c r="W77" s="437"/>
      <c r="X77" s="437"/>
      <c r="Y77" s="437"/>
      <c r="Z77" s="435"/>
      <c r="AB77" s="435"/>
      <c r="AC77" s="437"/>
      <c r="AD77" s="435"/>
    </row>
    <row r="78" spans="8:30" ht="12.75">
      <c r="H78" s="435"/>
      <c r="I78" s="436"/>
      <c r="J78" s="436"/>
      <c r="L78" s="435"/>
      <c r="M78" s="437"/>
      <c r="N78" s="437"/>
      <c r="P78" s="440"/>
      <c r="Q78" s="439"/>
      <c r="R78" s="440"/>
      <c r="S78" s="440"/>
      <c r="T78" s="440"/>
      <c r="V78" s="435"/>
      <c r="W78" s="437"/>
      <c r="X78" s="437"/>
      <c r="Y78" s="437"/>
      <c r="Z78" s="435"/>
      <c r="AB78" s="435"/>
      <c r="AC78" s="437"/>
      <c r="AD78" s="435"/>
    </row>
    <row r="79" spans="8:30" ht="12.75">
      <c r="H79" s="435"/>
      <c r="I79" s="436"/>
      <c r="J79" s="436"/>
      <c r="L79" s="435"/>
      <c r="M79" s="437"/>
      <c r="N79" s="437"/>
      <c r="P79" s="440"/>
      <c r="Q79" s="439"/>
      <c r="R79" s="440"/>
      <c r="S79" s="440"/>
      <c r="T79" s="440"/>
      <c r="V79" s="435"/>
      <c r="W79" s="437"/>
      <c r="X79" s="437"/>
      <c r="Y79" s="437"/>
      <c r="Z79" s="435"/>
      <c r="AB79" s="435"/>
      <c r="AC79" s="437"/>
      <c r="AD79" s="435"/>
    </row>
    <row r="80" spans="8:30" ht="12.75">
      <c r="H80" s="435"/>
      <c r="I80" s="436"/>
      <c r="J80" s="436"/>
      <c r="L80" s="435"/>
      <c r="M80" s="437"/>
      <c r="N80" s="437"/>
      <c r="P80" s="440"/>
      <c r="Q80" s="439"/>
      <c r="R80" s="440"/>
      <c r="S80" s="440"/>
      <c r="T80" s="440"/>
      <c r="V80" s="435"/>
      <c r="W80" s="437"/>
      <c r="X80" s="437"/>
      <c r="Y80" s="437"/>
      <c r="Z80" s="435"/>
      <c r="AB80" s="435"/>
      <c r="AC80" s="437"/>
      <c r="AD80" s="435"/>
    </row>
    <row r="81" spans="8:30" ht="12.75">
      <c r="H81" s="435"/>
      <c r="I81" s="436"/>
      <c r="J81" s="436"/>
      <c r="L81" s="435"/>
      <c r="M81" s="437"/>
      <c r="N81" s="437"/>
      <c r="P81" s="440"/>
      <c r="Q81" s="439"/>
      <c r="R81" s="440"/>
      <c r="S81" s="440"/>
      <c r="T81" s="440"/>
      <c r="V81" s="435"/>
      <c r="W81" s="437"/>
      <c r="X81" s="437"/>
      <c r="Y81" s="437"/>
      <c r="Z81" s="435"/>
      <c r="AB81" s="435"/>
      <c r="AC81" s="437"/>
      <c r="AD81" s="435"/>
    </row>
    <row r="82" spans="8:30" ht="12.75">
      <c r="H82" s="435"/>
      <c r="I82" s="436"/>
      <c r="J82" s="436"/>
      <c r="L82" s="435"/>
      <c r="M82" s="437"/>
      <c r="N82" s="437"/>
      <c r="P82" s="440"/>
      <c r="Q82" s="439"/>
      <c r="R82" s="440"/>
      <c r="S82" s="440"/>
      <c r="T82" s="440"/>
      <c r="V82" s="435"/>
      <c r="W82" s="437"/>
      <c r="X82" s="437"/>
      <c r="Y82" s="437"/>
      <c r="Z82" s="435"/>
      <c r="AB82" s="435"/>
      <c r="AC82" s="437"/>
      <c r="AD82" s="435"/>
    </row>
    <row r="83" spans="8:30" ht="12.75">
      <c r="H83" s="435"/>
      <c r="I83" s="436"/>
      <c r="J83" s="436"/>
      <c r="L83" s="435"/>
      <c r="M83" s="437"/>
      <c r="N83" s="437"/>
      <c r="P83" s="440"/>
      <c r="Q83" s="439"/>
      <c r="R83" s="440"/>
      <c r="S83" s="440"/>
      <c r="T83" s="440"/>
      <c r="V83" s="435"/>
      <c r="W83" s="437"/>
      <c r="X83" s="437"/>
      <c r="Y83" s="437"/>
      <c r="Z83" s="435"/>
      <c r="AB83" s="435"/>
      <c r="AC83" s="437"/>
      <c r="AD83" s="435"/>
    </row>
    <row r="84" spans="8:30" ht="12.75">
      <c r="H84" s="435"/>
      <c r="I84" s="436"/>
      <c r="J84" s="436"/>
      <c r="L84" s="435"/>
      <c r="M84" s="437"/>
      <c r="N84" s="437"/>
      <c r="P84" s="440"/>
      <c r="Q84" s="439"/>
      <c r="R84" s="440"/>
      <c r="S84" s="440"/>
      <c r="T84" s="440"/>
      <c r="V84" s="435"/>
      <c r="W84" s="437"/>
      <c r="X84" s="437"/>
      <c r="Y84" s="437"/>
      <c r="Z84" s="435"/>
      <c r="AB84" s="435"/>
      <c r="AC84" s="437"/>
      <c r="AD84" s="435"/>
    </row>
    <row r="85" spans="8:30" ht="12.75">
      <c r="H85" s="435"/>
      <c r="I85" s="436"/>
      <c r="J85" s="436"/>
      <c r="L85" s="435"/>
      <c r="M85" s="437"/>
      <c r="N85" s="437"/>
      <c r="P85" s="440"/>
      <c r="Q85" s="439"/>
      <c r="R85" s="440"/>
      <c r="S85" s="440"/>
      <c r="T85" s="440"/>
      <c r="V85" s="435"/>
      <c r="W85" s="437"/>
      <c r="X85" s="437"/>
      <c r="Y85" s="437"/>
      <c r="Z85" s="435"/>
      <c r="AB85" s="435"/>
      <c r="AC85" s="437"/>
      <c r="AD85" s="435"/>
    </row>
    <row r="86" spans="8:30" ht="12.75">
      <c r="H86" s="435"/>
      <c r="I86" s="436"/>
      <c r="J86" s="436"/>
      <c r="L86" s="435"/>
      <c r="M86" s="437"/>
      <c r="N86" s="437"/>
      <c r="P86" s="440"/>
      <c r="Q86" s="439"/>
      <c r="R86" s="440"/>
      <c r="S86" s="440"/>
      <c r="T86" s="440"/>
      <c r="V86" s="435"/>
      <c r="W86" s="437"/>
      <c r="X86" s="437"/>
      <c r="Y86" s="437"/>
      <c r="Z86" s="435"/>
      <c r="AB86" s="435"/>
      <c r="AC86" s="437"/>
      <c r="AD86" s="435"/>
    </row>
    <row r="87" spans="8:30" ht="12.75">
      <c r="H87" s="435"/>
      <c r="I87" s="436"/>
      <c r="J87" s="436"/>
      <c r="L87" s="435"/>
      <c r="M87" s="437"/>
      <c r="N87" s="437"/>
      <c r="P87" s="440"/>
      <c r="Q87" s="439"/>
      <c r="R87" s="440"/>
      <c r="S87" s="440"/>
      <c r="T87" s="440"/>
      <c r="V87" s="435"/>
      <c r="W87" s="437"/>
      <c r="X87" s="437"/>
      <c r="Y87" s="437"/>
      <c r="Z87" s="435"/>
      <c r="AB87" s="435"/>
      <c r="AC87" s="437"/>
      <c r="AD87" s="435"/>
    </row>
    <row r="88" spans="8:30" ht="12.75">
      <c r="H88" s="435"/>
      <c r="I88" s="436"/>
      <c r="J88" s="436"/>
      <c r="L88" s="435"/>
      <c r="M88" s="437"/>
      <c r="N88" s="437"/>
      <c r="P88" s="440"/>
      <c r="Q88" s="439"/>
      <c r="R88" s="440"/>
      <c r="S88" s="440"/>
      <c r="T88" s="440"/>
      <c r="V88" s="435"/>
      <c r="W88" s="437"/>
      <c r="X88" s="437"/>
      <c r="Y88" s="437"/>
      <c r="Z88" s="435"/>
      <c r="AB88" s="435"/>
      <c r="AC88" s="437"/>
      <c r="AD88" s="435"/>
    </row>
    <row r="89" spans="8:30" ht="12.75">
      <c r="H89" s="435"/>
      <c r="I89" s="436"/>
      <c r="J89" s="436"/>
      <c r="L89" s="435"/>
      <c r="M89" s="437"/>
      <c r="N89" s="437"/>
      <c r="P89" s="440"/>
      <c r="Q89" s="439"/>
      <c r="R89" s="440"/>
      <c r="S89" s="440"/>
      <c r="T89" s="440"/>
      <c r="V89" s="435"/>
      <c r="W89" s="437"/>
      <c r="X89" s="437"/>
      <c r="Y89" s="437"/>
      <c r="Z89" s="435"/>
      <c r="AB89" s="435"/>
      <c r="AC89" s="437"/>
      <c r="AD89" s="435"/>
    </row>
    <row r="90" spans="8:30" ht="12.75">
      <c r="H90" s="435"/>
      <c r="I90" s="436"/>
      <c r="J90" s="436"/>
      <c r="L90" s="435"/>
      <c r="M90" s="437"/>
      <c r="N90" s="437"/>
      <c r="P90" s="440"/>
      <c r="Q90" s="439"/>
      <c r="R90" s="440"/>
      <c r="S90" s="440"/>
      <c r="T90" s="440"/>
      <c r="V90" s="435"/>
      <c r="W90" s="437"/>
      <c r="X90" s="437"/>
      <c r="Y90" s="437"/>
      <c r="Z90" s="435"/>
      <c r="AB90" s="435"/>
      <c r="AC90" s="437"/>
      <c r="AD90" s="435"/>
    </row>
    <row r="91" spans="8:30" ht="12.75">
      <c r="H91" s="435"/>
      <c r="I91" s="436"/>
      <c r="J91" s="436"/>
      <c r="L91" s="435"/>
      <c r="M91" s="437"/>
      <c r="N91" s="437"/>
      <c r="P91" s="440"/>
      <c r="Q91" s="439"/>
      <c r="R91" s="440"/>
      <c r="S91" s="440"/>
      <c r="T91" s="440"/>
      <c r="V91" s="435"/>
      <c r="W91" s="437"/>
      <c r="X91" s="437"/>
      <c r="Y91" s="437"/>
      <c r="Z91" s="435"/>
      <c r="AB91" s="435"/>
      <c r="AC91" s="437"/>
      <c r="AD91" s="435"/>
    </row>
    <row r="92" spans="8:30" ht="12.75">
      <c r="H92" s="435"/>
      <c r="I92" s="436"/>
      <c r="J92" s="436"/>
      <c r="L92" s="435"/>
      <c r="M92" s="437"/>
      <c r="N92" s="437"/>
      <c r="P92" s="440"/>
      <c r="Q92" s="439"/>
      <c r="R92" s="440"/>
      <c r="S92" s="440"/>
      <c r="T92" s="440"/>
      <c r="V92" s="435"/>
      <c r="W92" s="437"/>
      <c r="X92" s="437"/>
      <c r="Y92" s="437"/>
      <c r="Z92" s="435"/>
      <c r="AB92" s="435"/>
      <c r="AC92" s="437"/>
      <c r="AD92" s="435"/>
    </row>
    <row r="93" spans="8:30" ht="12.75">
      <c r="H93" s="435"/>
      <c r="I93" s="436"/>
      <c r="J93" s="436"/>
      <c r="L93" s="435"/>
      <c r="M93" s="437"/>
      <c r="N93" s="437"/>
      <c r="P93" s="440"/>
      <c r="Q93" s="439"/>
      <c r="R93" s="440"/>
      <c r="S93" s="440"/>
      <c r="T93" s="440"/>
      <c r="V93" s="435"/>
      <c r="W93" s="437"/>
      <c r="X93" s="437"/>
      <c r="Y93" s="437"/>
      <c r="Z93" s="435"/>
      <c r="AB93" s="435"/>
      <c r="AC93" s="437"/>
      <c r="AD93" s="435"/>
    </row>
    <row r="94" spans="8:30" ht="12.75">
      <c r="H94" s="435"/>
      <c r="I94" s="436"/>
      <c r="J94" s="436"/>
      <c r="L94" s="435"/>
      <c r="M94" s="437"/>
      <c r="N94" s="437"/>
      <c r="P94" s="440"/>
      <c r="Q94" s="439"/>
      <c r="R94" s="440"/>
      <c r="S94" s="440"/>
      <c r="T94" s="440"/>
      <c r="V94" s="435"/>
      <c r="W94" s="437"/>
      <c r="X94" s="437"/>
      <c r="Y94" s="437"/>
      <c r="Z94" s="435"/>
      <c r="AB94" s="435"/>
      <c r="AC94" s="437"/>
      <c r="AD94" s="435"/>
    </row>
    <row r="95" spans="8:30" ht="12.75">
      <c r="H95" s="435"/>
      <c r="I95" s="436"/>
      <c r="J95" s="436"/>
      <c r="L95" s="435"/>
      <c r="M95" s="437"/>
      <c r="N95" s="437"/>
      <c r="P95" s="440"/>
      <c r="Q95" s="439"/>
      <c r="R95" s="440"/>
      <c r="S95" s="440"/>
      <c r="T95" s="440"/>
      <c r="V95" s="435"/>
      <c r="W95" s="437"/>
      <c r="X95" s="437"/>
      <c r="Y95" s="437"/>
      <c r="Z95" s="435"/>
      <c r="AB95" s="435"/>
      <c r="AC95" s="437"/>
      <c r="AD95" s="435"/>
    </row>
    <row r="96" spans="8:30" ht="12.75">
      <c r="H96" s="435"/>
      <c r="I96" s="436"/>
      <c r="J96" s="436"/>
      <c r="L96" s="435"/>
      <c r="M96" s="437"/>
      <c r="N96" s="437"/>
      <c r="P96" s="440"/>
      <c r="Q96" s="439"/>
      <c r="R96" s="440"/>
      <c r="S96" s="440"/>
      <c r="T96" s="440"/>
      <c r="V96" s="435"/>
      <c r="W96" s="437"/>
      <c r="X96" s="437"/>
      <c r="Y96" s="437"/>
      <c r="Z96" s="435"/>
      <c r="AB96" s="435"/>
      <c r="AC96" s="437"/>
      <c r="AD96" s="435"/>
    </row>
    <row r="97" spans="8:30" ht="12.75">
      <c r="H97" s="435"/>
      <c r="I97" s="436"/>
      <c r="J97" s="436"/>
      <c r="L97" s="435"/>
      <c r="M97" s="437"/>
      <c r="N97" s="437"/>
      <c r="P97" s="440"/>
      <c r="Q97" s="439"/>
      <c r="R97" s="440"/>
      <c r="S97" s="440"/>
      <c r="T97" s="440"/>
      <c r="V97" s="435"/>
      <c r="W97" s="437"/>
      <c r="X97" s="437"/>
      <c r="Y97" s="437"/>
      <c r="Z97" s="435"/>
      <c r="AB97" s="435"/>
      <c r="AC97" s="437"/>
      <c r="AD97" s="435"/>
    </row>
    <row r="98" spans="8:30" ht="12.75">
      <c r="H98" s="435"/>
      <c r="I98" s="436"/>
      <c r="J98" s="436"/>
      <c r="L98" s="435"/>
      <c r="M98" s="437"/>
      <c r="N98" s="437"/>
      <c r="P98" s="440"/>
      <c r="Q98" s="439"/>
      <c r="R98" s="440"/>
      <c r="S98" s="440"/>
      <c r="T98" s="440"/>
      <c r="V98" s="435"/>
      <c r="W98" s="437"/>
      <c r="X98" s="437"/>
      <c r="Y98" s="437"/>
      <c r="Z98" s="435"/>
      <c r="AB98" s="435"/>
      <c r="AC98" s="437"/>
      <c r="AD98" s="435"/>
    </row>
    <row r="99" spans="8:30" ht="12.75">
      <c r="H99" s="435"/>
      <c r="I99" s="436"/>
      <c r="J99" s="436"/>
      <c r="L99" s="435"/>
      <c r="M99" s="437"/>
      <c r="N99" s="437"/>
      <c r="P99" s="440"/>
      <c r="Q99" s="439"/>
      <c r="R99" s="440"/>
      <c r="S99" s="440"/>
      <c r="T99" s="440"/>
      <c r="V99" s="435"/>
      <c r="W99" s="437"/>
      <c r="X99" s="437"/>
      <c r="Y99" s="437"/>
      <c r="Z99" s="435"/>
      <c r="AB99" s="435"/>
      <c r="AC99" s="437"/>
      <c r="AD99" s="435"/>
    </row>
    <row r="100" spans="8:30" ht="12.75">
      <c r="H100" s="435"/>
      <c r="I100" s="436"/>
      <c r="J100" s="436"/>
      <c r="L100" s="435"/>
      <c r="M100" s="437"/>
      <c r="N100" s="437"/>
      <c r="P100" s="440"/>
      <c r="Q100" s="439"/>
      <c r="R100" s="440"/>
      <c r="S100" s="440"/>
      <c r="T100" s="440"/>
      <c r="V100" s="435"/>
      <c r="W100" s="437"/>
      <c r="X100" s="437"/>
      <c r="Y100" s="437"/>
      <c r="Z100" s="435"/>
      <c r="AB100" s="435"/>
      <c r="AC100" s="437"/>
      <c r="AD100" s="435"/>
    </row>
    <row r="101" spans="8:30" ht="12.75">
      <c r="H101" s="435"/>
      <c r="I101" s="436"/>
      <c r="J101" s="436"/>
      <c r="P101" s="440"/>
      <c r="Q101" s="439"/>
      <c r="R101" s="440"/>
      <c r="S101" s="440"/>
      <c r="T101" s="440"/>
      <c r="V101" s="435"/>
      <c r="W101" s="437"/>
      <c r="X101" s="437"/>
      <c r="Y101" s="437"/>
      <c r="Z101" s="435"/>
      <c r="AB101" s="435"/>
      <c r="AC101" s="437"/>
      <c r="AD101" s="435"/>
    </row>
    <row r="102" spans="8:30" ht="12.75">
      <c r="H102" s="435"/>
      <c r="I102" s="436"/>
      <c r="J102" s="436"/>
      <c r="P102" s="440"/>
      <c r="Q102" s="439"/>
      <c r="R102" s="440"/>
      <c r="S102" s="440"/>
      <c r="T102" s="440"/>
      <c r="V102" s="435"/>
      <c r="W102" s="437"/>
      <c r="X102" s="437"/>
      <c r="Y102" s="437"/>
      <c r="Z102" s="435"/>
      <c r="AB102" s="435"/>
      <c r="AC102" s="437"/>
      <c r="AD102" s="435"/>
    </row>
    <row r="103" spans="8:30" ht="12.75">
      <c r="H103" s="435"/>
      <c r="I103" s="436"/>
      <c r="J103" s="436"/>
      <c r="P103" s="440"/>
      <c r="Q103" s="439"/>
      <c r="R103" s="440"/>
      <c r="S103" s="440"/>
      <c r="T103" s="440"/>
      <c r="V103" s="435"/>
      <c r="W103" s="437"/>
      <c r="X103" s="437"/>
      <c r="Y103" s="437"/>
      <c r="Z103" s="435"/>
      <c r="AB103" s="435"/>
      <c r="AC103" s="437"/>
      <c r="AD103" s="435"/>
    </row>
    <row r="104" spans="8:30" ht="12.75">
      <c r="H104" s="435"/>
      <c r="I104" s="436"/>
      <c r="J104" s="436"/>
      <c r="P104" s="440"/>
      <c r="Q104" s="439"/>
      <c r="R104" s="440"/>
      <c r="S104" s="440"/>
      <c r="T104" s="440"/>
      <c r="V104" s="435"/>
      <c r="W104" s="437"/>
      <c r="X104" s="437"/>
      <c r="Y104" s="437"/>
      <c r="Z104" s="435"/>
      <c r="AB104" s="435"/>
      <c r="AC104" s="437"/>
      <c r="AD104" s="435"/>
    </row>
    <row r="105" spans="8:30" ht="12.75">
      <c r="H105" s="435"/>
      <c r="I105" s="436"/>
      <c r="J105" s="436"/>
      <c r="P105" s="440"/>
      <c r="Q105" s="439"/>
      <c r="R105" s="440"/>
      <c r="S105" s="440"/>
      <c r="T105" s="440"/>
      <c r="V105" s="435"/>
      <c r="W105" s="437"/>
      <c r="X105" s="437"/>
      <c r="Y105" s="437"/>
      <c r="Z105" s="435"/>
      <c r="AB105" s="435"/>
      <c r="AC105" s="437"/>
      <c r="AD105" s="435"/>
    </row>
    <row r="106" spans="8:30" ht="12.75">
      <c r="H106" s="435"/>
      <c r="I106" s="436"/>
      <c r="J106" s="436"/>
      <c r="P106" s="440"/>
      <c r="Q106" s="439"/>
      <c r="R106" s="440"/>
      <c r="S106" s="440"/>
      <c r="T106" s="440"/>
      <c r="V106" s="435"/>
      <c r="W106" s="437"/>
      <c r="X106" s="437"/>
      <c r="Y106" s="437"/>
      <c r="Z106" s="435"/>
      <c r="AB106" s="435"/>
      <c r="AC106" s="437"/>
      <c r="AD106" s="435"/>
    </row>
    <row r="107" spans="8:30" ht="12.75">
      <c r="H107" s="435"/>
      <c r="I107" s="436"/>
      <c r="J107" s="436"/>
      <c r="P107" s="440"/>
      <c r="Q107" s="439"/>
      <c r="R107" s="440"/>
      <c r="S107" s="440"/>
      <c r="T107" s="440"/>
      <c r="V107" s="435"/>
      <c r="W107" s="437"/>
      <c r="X107" s="437"/>
      <c r="Y107" s="437"/>
      <c r="Z107" s="435"/>
      <c r="AB107" s="435"/>
      <c r="AC107" s="437"/>
      <c r="AD107" s="435"/>
    </row>
    <row r="108" spans="8:30" ht="12.75">
      <c r="H108" s="435"/>
      <c r="I108" s="436"/>
      <c r="J108" s="436"/>
      <c r="P108" s="440"/>
      <c r="Q108" s="439"/>
      <c r="R108" s="440"/>
      <c r="S108" s="440"/>
      <c r="T108" s="440"/>
      <c r="V108" s="435"/>
      <c r="W108" s="437"/>
      <c r="X108" s="437"/>
      <c r="Y108" s="437"/>
      <c r="Z108" s="435"/>
      <c r="AB108" s="435"/>
      <c r="AC108" s="437"/>
      <c r="AD108" s="435"/>
    </row>
    <row r="109" spans="8:30" ht="12.75">
      <c r="H109" s="435"/>
      <c r="I109" s="436"/>
      <c r="J109" s="436"/>
      <c r="P109" s="440"/>
      <c r="Q109" s="439"/>
      <c r="R109" s="440"/>
      <c r="S109" s="440"/>
      <c r="T109" s="440"/>
      <c r="V109" s="435"/>
      <c r="W109" s="437"/>
      <c r="X109" s="437"/>
      <c r="Y109" s="437"/>
      <c r="Z109" s="435"/>
      <c r="AB109" s="435"/>
      <c r="AC109" s="437"/>
      <c r="AD109" s="435"/>
    </row>
    <row r="110" spans="8:30" ht="12.75">
      <c r="H110" s="435"/>
      <c r="I110" s="436"/>
      <c r="J110" s="436"/>
      <c r="P110" s="440"/>
      <c r="Q110" s="439"/>
      <c r="R110" s="440"/>
      <c r="S110" s="440"/>
      <c r="T110" s="440"/>
      <c r="V110" s="435"/>
      <c r="W110" s="437"/>
      <c r="X110" s="437"/>
      <c r="Y110" s="437"/>
      <c r="Z110" s="435"/>
      <c r="AB110" s="435"/>
      <c r="AC110" s="437"/>
      <c r="AD110" s="435"/>
    </row>
    <row r="111" spans="8:30" ht="12.75">
      <c r="H111" s="435"/>
      <c r="I111" s="436"/>
      <c r="J111" s="436"/>
      <c r="P111" s="440"/>
      <c r="Q111" s="439"/>
      <c r="R111" s="440"/>
      <c r="S111" s="440"/>
      <c r="T111" s="440"/>
      <c r="V111" s="435"/>
      <c r="W111" s="437"/>
      <c r="X111" s="437"/>
      <c r="Y111" s="437"/>
      <c r="Z111" s="435"/>
      <c r="AB111" s="435"/>
      <c r="AC111" s="437"/>
      <c r="AD111" s="435"/>
    </row>
    <row r="112" spans="8:30" ht="12.75">
      <c r="H112" s="435"/>
      <c r="I112" s="436"/>
      <c r="J112" s="436"/>
      <c r="P112" s="440"/>
      <c r="Q112" s="439"/>
      <c r="R112" s="440"/>
      <c r="S112" s="440"/>
      <c r="T112" s="440"/>
      <c r="V112" s="435"/>
      <c r="W112" s="437"/>
      <c r="X112" s="437"/>
      <c r="Y112" s="437"/>
      <c r="Z112" s="435"/>
      <c r="AB112" s="435"/>
      <c r="AC112" s="437"/>
      <c r="AD112" s="435"/>
    </row>
    <row r="113" spans="8:30" ht="12.75">
      <c r="H113" s="435"/>
      <c r="I113" s="436"/>
      <c r="J113" s="436"/>
      <c r="P113" s="440"/>
      <c r="Q113" s="439"/>
      <c r="R113" s="440"/>
      <c r="S113" s="440"/>
      <c r="T113" s="440"/>
      <c r="V113" s="435"/>
      <c r="W113" s="437"/>
      <c r="X113" s="437"/>
      <c r="Y113" s="437"/>
      <c r="Z113" s="435"/>
      <c r="AB113" s="435"/>
      <c r="AC113" s="437"/>
      <c r="AD113" s="435"/>
    </row>
    <row r="114" spans="8:30" ht="12.75">
      <c r="H114" s="435"/>
      <c r="I114" s="436"/>
      <c r="J114" s="436"/>
      <c r="P114" s="440"/>
      <c r="Q114" s="439"/>
      <c r="R114" s="440"/>
      <c r="S114" s="440"/>
      <c r="T114" s="440"/>
      <c r="V114" s="435"/>
      <c r="W114" s="437"/>
      <c r="X114" s="437"/>
      <c r="Y114" s="437"/>
      <c r="Z114" s="435"/>
      <c r="AB114" s="435"/>
      <c r="AC114" s="437"/>
      <c r="AD114" s="435"/>
    </row>
    <row r="115" spans="8:30" ht="12.75">
      <c r="H115" s="435"/>
      <c r="I115" s="436"/>
      <c r="J115" s="436"/>
      <c r="P115" s="440"/>
      <c r="Q115" s="439"/>
      <c r="R115" s="440"/>
      <c r="S115" s="440"/>
      <c r="T115" s="440"/>
      <c r="V115" s="435"/>
      <c r="W115" s="437"/>
      <c r="X115" s="437"/>
      <c r="Y115" s="437"/>
      <c r="Z115" s="435"/>
      <c r="AB115" s="435"/>
      <c r="AC115" s="437"/>
      <c r="AD115" s="435"/>
    </row>
    <row r="116" spans="8:30" ht="12.75">
      <c r="H116" s="435"/>
      <c r="I116" s="436"/>
      <c r="J116" s="436"/>
      <c r="P116" s="440"/>
      <c r="Q116" s="439"/>
      <c r="R116" s="440"/>
      <c r="S116" s="440"/>
      <c r="T116" s="440"/>
      <c r="V116" s="435"/>
      <c r="W116" s="437"/>
      <c r="X116" s="437"/>
      <c r="Y116" s="437"/>
      <c r="Z116" s="435"/>
      <c r="AB116" s="435"/>
      <c r="AC116" s="437"/>
      <c r="AD116" s="435"/>
    </row>
    <row r="117" spans="8:30" ht="12.75">
      <c r="H117" s="435"/>
      <c r="I117" s="436"/>
      <c r="J117" s="436"/>
      <c r="P117" s="440"/>
      <c r="Q117" s="439"/>
      <c r="R117" s="440"/>
      <c r="S117" s="440"/>
      <c r="T117" s="440"/>
      <c r="V117" s="435"/>
      <c r="W117" s="437"/>
      <c r="X117" s="437"/>
      <c r="Y117" s="437"/>
      <c r="Z117" s="435"/>
      <c r="AB117" s="435"/>
      <c r="AC117" s="437"/>
      <c r="AD117" s="435"/>
    </row>
    <row r="118" spans="8:30" ht="12.75">
      <c r="H118" s="435"/>
      <c r="I118" s="436"/>
      <c r="J118" s="436"/>
      <c r="P118" s="440"/>
      <c r="Q118" s="439"/>
      <c r="R118" s="440"/>
      <c r="S118" s="440"/>
      <c r="T118" s="440"/>
      <c r="V118" s="435"/>
      <c r="W118" s="437"/>
      <c r="X118" s="437"/>
      <c r="Y118" s="437"/>
      <c r="Z118" s="435"/>
      <c r="AB118" s="435"/>
      <c r="AC118" s="437"/>
      <c r="AD118" s="435"/>
    </row>
    <row r="119" spans="8:30" ht="12.75">
      <c r="H119" s="435"/>
      <c r="I119" s="436"/>
      <c r="J119" s="436"/>
      <c r="P119" s="440"/>
      <c r="Q119" s="439"/>
      <c r="R119" s="440"/>
      <c r="S119" s="440"/>
      <c r="T119" s="440"/>
      <c r="V119" s="435"/>
      <c r="W119" s="437"/>
      <c r="X119" s="437"/>
      <c r="Y119" s="437"/>
      <c r="Z119" s="435"/>
      <c r="AB119" s="435"/>
      <c r="AC119" s="437"/>
      <c r="AD119" s="435"/>
    </row>
    <row r="120" spans="8:30" ht="12.75">
      <c r="H120" s="435"/>
      <c r="I120" s="436"/>
      <c r="J120" s="436"/>
      <c r="P120" s="440"/>
      <c r="Q120" s="439"/>
      <c r="R120" s="440"/>
      <c r="S120" s="440"/>
      <c r="T120" s="440"/>
      <c r="V120" s="435"/>
      <c r="W120" s="437"/>
      <c r="X120" s="437"/>
      <c r="Y120" s="437"/>
      <c r="Z120" s="435"/>
      <c r="AB120" s="435"/>
      <c r="AC120" s="437"/>
      <c r="AD120" s="435"/>
    </row>
    <row r="121" spans="8:30" ht="12.75">
      <c r="H121" s="435"/>
      <c r="I121" s="436"/>
      <c r="J121" s="436"/>
      <c r="P121" s="440"/>
      <c r="Q121" s="439"/>
      <c r="R121" s="440"/>
      <c r="S121" s="440"/>
      <c r="T121" s="440"/>
      <c r="V121" s="435"/>
      <c r="W121" s="437"/>
      <c r="X121" s="437"/>
      <c r="Y121" s="437"/>
      <c r="Z121" s="435"/>
      <c r="AB121" s="435"/>
      <c r="AC121" s="437"/>
      <c r="AD121" s="435"/>
    </row>
    <row r="122" spans="8:30" ht="12.75">
      <c r="H122" s="435"/>
      <c r="I122" s="436"/>
      <c r="J122" s="436"/>
      <c r="P122" s="440"/>
      <c r="Q122" s="439"/>
      <c r="R122" s="440"/>
      <c r="S122" s="440"/>
      <c r="T122" s="440"/>
      <c r="V122" s="435"/>
      <c r="W122" s="437"/>
      <c r="X122" s="437"/>
      <c r="Y122" s="437"/>
      <c r="Z122" s="435"/>
      <c r="AB122" s="435"/>
      <c r="AC122" s="437"/>
      <c r="AD122" s="435"/>
    </row>
    <row r="123" spans="8:30" ht="12.75">
      <c r="H123" s="435"/>
      <c r="I123" s="436"/>
      <c r="J123" s="436"/>
      <c r="P123" s="440"/>
      <c r="Q123" s="439"/>
      <c r="R123" s="440"/>
      <c r="S123" s="440"/>
      <c r="T123" s="440"/>
      <c r="V123" s="435"/>
      <c r="W123" s="437"/>
      <c r="X123" s="437"/>
      <c r="Y123" s="437"/>
      <c r="Z123" s="435"/>
      <c r="AB123" s="435"/>
      <c r="AC123" s="437"/>
      <c r="AD123" s="435"/>
    </row>
    <row r="124" spans="8:30" ht="12.75">
      <c r="H124" s="435"/>
      <c r="I124" s="436"/>
      <c r="J124" s="436"/>
      <c r="P124" s="440"/>
      <c r="Q124" s="439"/>
      <c r="R124" s="440"/>
      <c r="S124" s="440"/>
      <c r="T124" s="440"/>
      <c r="V124" s="435"/>
      <c r="W124" s="437"/>
      <c r="X124" s="437"/>
      <c r="Y124" s="437"/>
      <c r="Z124" s="435"/>
      <c r="AB124" s="435"/>
      <c r="AC124" s="437"/>
      <c r="AD124" s="435"/>
    </row>
    <row r="125" spans="8:30" ht="12.75">
      <c r="H125" s="435"/>
      <c r="I125" s="436"/>
      <c r="J125" s="436"/>
      <c r="P125" s="440"/>
      <c r="Q125" s="439"/>
      <c r="R125" s="440"/>
      <c r="S125" s="440"/>
      <c r="T125" s="440"/>
      <c r="V125" s="435"/>
      <c r="W125" s="437"/>
      <c r="X125" s="437"/>
      <c r="Y125" s="437"/>
      <c r="Z125" s="435"/>
      <c r="AB125" s="435"/>
      <c r="AC125" s="437"/>
      <c r="AD125" s="435"/>
    </row>
    <row r="126" spans="8:30" ht="12.75">
      <c r="H126" s="435"/>
      <c r="I126" s="436"/>
      <c r="J126" s="436"/>
      <c r="P126" s="440"/>
      <c r="Q126" s="439"/>
      <c r="R126" s="440"/>
      <c r="S126" s="440"/>
      <c r="T126" s="440"/>
      <c r="V126" s="435"/>
      <c r="W126" s="437"/>
      <c r="X126" s="437"/>
      <c r="Y126" s="437"/>
      <c r="Z126" s="435"/>
      <c r="AB126" s="435"/>
      <c r="AC126" s="437"/>
      <c r="AD126" s="435"/>
    </row>
    <row r="127" spans="8:30" ht="12.75">
      <c r="H127" s="435"/>
      <c r="I127" s="436"/>
      <c r="J127" s="436"/>
      <c r="P127" s="440"/>
      <c r="Q127" s="439"/>
      <c r="R127" s="440"/>
      <c r="S127" s="440"/>
      <c r="T127" s="440"/>
      <c r="V127" s="435"/>
      <c r="W127" s="437"/>
      <c r="X127" s="437"/>
      <c r="Y127" s="437"/>
      <c r="Z127" s="435"/>
      <c r="AB127" s="435"/>
      <c r="AC127" s="437"/>
      <c r="AD127" s="435"/>
    </row>
    <row r="128" spans="8:30" ht="12.75">
      <c r="H128" s="435"/>
      <c r="I128" s="436"/>
      <c r="J128" s="436"/>
      <c r="P128" s="440"/>
      <c r="Q128" s="439"/>
      <c r="R128" s="440"/>
      <c r="S128" s="440"/>
      <c r="T128" s="440"/>
      <c r="V128" s="435"/>
      <c r="W128" s="437"/>
      <c r="X128" s="437"/>
      <c r="Y128" s="437"/>
      <c r="Z128" s="435"/>
      <c r="AB128" s="435"/>
      <c r="AC128" s="437"/>
      <c r="AD128" s="435"/>
    </row>
    <row r="129" spans="8:30" ht="12.75">
      <c r="H129" s="435"/>
      <c r="I129" s="436"/>
      <c r="J129" s="436"/>
      <c r="P129" s="440"/>
      <c r="Q129" s="439"/>
      <c r="R129" s="440"/>
      <c r="S129" s="440"/>
      <c r="T129" s="440"/>
      <c r="V129" s="435"/>
      <c r="W129" s="437"/>
      <c r="X129" s="437"/>
      <c r="Y129" s="437"/>
      <c r="Z129" s="435"/>
      <c r="AB129" s="435"/>
      <c r="AC129" s="437"/>
      <c r="AD129" s="435"/>
    </row>
    <row r="130" spans="8:30" ht="12.75">
      <c r="H130" s="435"/>
      <c r="I130" s="436"/>
      <c r="J130" s="436"/>
      <c r="P130" s="440"/>
      <c r="Q130" s="439"/>
      <c r="R130" s="440"/>
      <c r="S130" s="440"/>
      <c r="T130" s="440"/>
      <c r="V130" s="435"/>
      <c r="W130" s="437"/>
      <c r="X130" s="437"/>
      <c r="Y130" s="437"/>
      <c r="Z130" s="435"/>
      <c r="AB130" s="435"/>
      <c r="AC130" s="437"/>
      <c r="AD130" s="435"/>
    </row>
    <row r="131" spans="8:30" ht="12.75">
      <c r="H131" s="435"/>
      <c r="I131" s="436"/>
      <c r="J131" s="436"/>
      <c r="P131" s="440"/>
      <c r="Q131" s="439"/>
      <c r="R131" s="440"/>
      <c r="S131" s="440"/>
      <c r="T131" s="440"/>
      <c r="V131" s="435"/>
      <c r="W131" s="437"/>
      <c r="X131" s="437"/>
      <c r="Y131" s="437"/>
      <c r="Z131" s="435"/>
      <c r="AB131" s="435"/>
      <c r="AC131" s="437"/>
      <c r="AD131" s="435"/>
    </row>
    <row r="132" spans="8:30" ht="12.75">
      <c r="H132" s="435"/>
      <c r="I132" s="436"/>
      <c r="J132" s="436"/>
      <c r="P132" s="440"/>
      <c r="Q132" s="439"/>
      <c r="R132" s="440"/>
      <c r="S132" s="440"/>
      <c r="T132" s="440"/>
      <c r="V132" s="435"/>
      <c r="W132" s="437"/>
      <c r="X132" s="437"/>
      <c r="Y132" s="437"/>
      <c r="Z132" s="435"/>
      <c r="AB132" s="435"/>
      <c r="AC132" s="437"/>
      <c r="AD132" s="435"/>
    </row>
    <row r="133" spans="8:30" ht="12.75">
      <c r="H133" s="435"/>
      <c r="I133" s="436"/>
      <c r="J133" s="436"/>
      <c r="P133" s="440"/>
      <c r="Q133" s="439"/>
      <c r="R133" s="440"/>
      <c r="S133" s="440"/>
      <c r="T133" s="440"/>
      <c r="V133" s="435"/>
      <c r="W133" s="437"/>
      <c r="X133" s="437"/>
      <c r="Y133" s="437"/>
      <c r="Z133" s="435"/>
      <c r="AB133" s="435"/>
      <c r="AC133" s="437"/>
      <c r="AD133" s="435"/>
    </row>
    <row r="134" spans="8:30" ht="12.75">
      <c r="H134" s="435"/>
      <c r="I134" s="436"/>
      <c r="J134" s="436"/>
      <c r="P134" s="440"/>
      <c r="Q134" s="439"/>
      <c r="R134" s="440"/>
      <c r="S134" s="440"/>
      <c r="T134" s="440"/>
      <c r="V134" s="435"/>
      <c r="W134" s="437"/>
      <c r="X134" s="437"/>
      <c r="Y134" s="437"/>
      <c r="Z134" s="435"/>
      <c r="AB134" s="435"/>
      <c r="AC134" s="437"/>
      <c r="AD134" s="435"/>
    </row>
    <row r="135" spans="8:30" ht="12.75">
      <c r="H135" s="435"/>
      <c r="I135" s="436"/>
      <c r="J135" s="436"/>
      <c r="P135" s="440"/>
      <c r="Q135" s="439"/>
      <c r="R135" s="440"/>
      <c r="S135" s="440"/>
      <c r="T135" s="440"/>
      <c r="V135" s="435"/>
      <c r="W135" s="437"/>
      <c r="X135" s="437"/>
      <c r="Y135" s="437"/>
      <c r="Z135" s="435"/>
      <c r="AB135" s="435"/>
      <c r="AC135" s="437"/>
      <c r="AD135" s="435"/>
    </row>
    <row r="136" spans="8:30" ht="12.75">
      <c r="H136" s="435"/>
      <c r="I136" s="436"/>
      <c r="J136" s="436"/>
      <c r="P136" s="440"/>
      <c r="Q136" s="439"/>
      <c r="R136" s="440"/>
      <c r="S136" s="440"/>
      <c r="T136" s="440"/>
      <c r="V136" s="435"/>
      <c r="W136" s="437"/>
      <c r="X136" s="437"/>
      <c r="Y136" s="437"/>
      <c r="Z136" s="435"/>
      <c r="AB136" s="435"/>
      <c r="AC136" s="437"/>
      <c r="AD136" s="435"/>
    </row>
    <row r="137" spans="8:30" ht="12.75">
      <c r="H137" s="435"/>
      <c r="I137" s="436"/>
      <c r="J137" s="436"/>
      <c r="P137" s="440"/>
      <c r="Q137" s="439"/>
      <c r="R137" s="440"/>
      <c r="S137" s="440"/>
      <c r="T137" s="440"/>
      <c r="V137" s="435"/>
      <c r="W137" s="437"/>
      <c r="X137" s="437"/>
      <c r="Y137" s="437"/>
      <c r="Z137" s="435"/>
      <c r="AB137" s="435"/>
      <c r="AC137" s="437"/>
      <c r="AD137" s="435"/>
    </row>
    <row r="138" spans="8:30" ht="12.75">
      <c r="H138" s="435"/>
      <c r="I138" s="436"/>
      <c r="J138" s="436"/>
      <c r="P138" s="440"/>
      <c r="Q138" s="439"/>
      <c r="R138" s="440"/>
      <c r="S138" s="440"/>
      <c r="T138" s="440"/>
      <c r="V138" s="435"/>
      <c r="W138" s="437"/>
      <c r="X138" s="437"/>
      <c r="Y138" s="437"/>
      <c r="Z138" s="435"/>
      <c r="AB138" s="435"/>
      <c r="AC138" s="437"/>
      <c r="AD138" s="435"/>
    </row>
    <row r="139" spans="8:30" ht="12.75">
      <c r="H139" s="435"/>
      <c r="I139" s="436"/>
      <c r="J139" s="436"/>
      <c r="P139" s="440"/>
      <c r="Q139" s="439"/>
      <c r="R139" s="440"/>
      <c r="S139" s="440"/>
      <c r="T139" s="440"/>
      <c r="V139" s="435"/>
      <c r="W139" s="437"/>
      <c r="X139" s="437"/>
      <c r="Y139" s="437"/>
      <c r="Z139" s="435"/>
      <c r="AB139" s="435"/>
      <c r="AC139" s="437"/>
      <c r="AD139" s="435"/>
    </row>
    <row r="140" spans="8:30" ht="12.75">
      <c r="H140" s="435"/>
      <c r="I140" s="436"/>
      <c r="J140" s="436"/>
      <c r="P140" s="440"/>
      <c r="Q140" s="439"/>
      <c r="R140" s="440"/>
      <c r="S140" s="440"/>
      <c r="T140" s="440"/>
      <c r="V140" s="435"/>
      <c r="W140" s="437"/>
      <c r="X140" s="437"/>
      <c r="Y140" s="437"/>
      <c r="Z140" s="435"/>
      <c r="AB140" s="435"/>
      <c r="AC140" s="437"/>
      <c r="AD140" s="435"/>
    </row>
    <row r="141" spans="8:30" ht="12.75">
      <c r="H141" s="435"/>
      <c r="I141" s="436"/>
      <c r="J141" s="436"/>
      <c r="P141" s="440"/>
      <c r="Q141" s="439"/>
      <c r="R141" s="440"/>
      <c r="S141" s="440"/>
      <c r="T141" s="440"/>
      <c r="V141" s="435"/>
      <c r="W141" s="437"/>
      <c r="X141" s="437"/>
      <c r="Y141" s="437"/>
      <c r="Z141" s="435"/>
      <c r="AB141" s="435"/>
      <c r="AC141" s="437"/>
      <c r="AD141" s="435"/>
    </row>
    <row r="142" spans="8:30" ht="12.75">
      <c r="H142" s="435"/>
      <c r="I142" s="436"/>
      <c r="J142" s="436"/>
      <c r="P142" s="440"/>
      <c r="Q142" s="439"/>
      <c r="R142" s="440"/>
      <c r="S142" s="440"/>
      <c r="T142" s="440"/>
      <c r="V142" s="435"/>
      <c r="W142" s="437"/>
      <c r="X142" s="437"/>
      <c r="Y142" s="437"/>
      <c r="Z142" s="435"/>
      <c r="AB142" s="435"/>
      <c r="AC142" s="437"/>
      <c r="AD142" s="435"/>
    </row>
    <row r="143" spans="8:30" ht="12.75">
      <c r="H143" s="435"/>
      <c r="I143" s="436"/>
      <c r="J143" s="436"/>
      <c r="P143" s="440"/>
      <c r="Q143" s="439"/>
      <c r="R143" s="440"/>
      <c r="S143" s="440"/>
      <c r="T143" s="440"/>
      <c r="V143" s="435"/>
      <c r="W143" s="437"/>
      <c r="X143" s="437"/>
      <c r="Y143" s="437"/>
      <c r="Z143" s="435"/>
      <c r="AB143" s="435"/>
      <c r="AC143" s="437"/>
      <c r="AD143" s="435"/>
    </row>
    <row r="144" spans="8:30" ht="12.75">
      <c r="H144" s="435"/>
      <c r="I144" s="436"/>
      <c r="J144" s="436"/>
      <c r="P144" s="440"/>
      <c r="Q144" s="439"/>
      <c r="R144" s="440"/>
      <c r="S144" s="440"/>
      <c r="T144" s="440"/>
      <c r="V144" s="435"/>
      <c r="W144" s="437"/>
      <c r="X144" s="437"/>
      <c r="Y144" s="437"/>
      <c r="Z144" s="435"/>
      <c r="AB144" s="435"/>
      <c r="AC144" s="437"/>
      <c r="AD144" s="435"/>
    </row>
    <row r="145" spans="8:30" ht="12.75">
      <c r="H145" s="435"/>
      <c r="I145" s="436"/>
      <c r="J145" s="436"/>
      <c r="P145" s="440"/>
      <c r="Q145" s="439"/>
      <c r="R145" s="440"/>
      <c r="S145" s="440"/>
      <c r="T145" s="440"/>
      <c r="V145" s="435"/>
      <c r="W145" s="437"/>
      <c r="X145" s="437"/>
      <c r="Y145" s="437"/>
      <c r="Z145" s="435"/>
      <c r="AB145" s="435"/>
      <c r="AC145" s="437"/>
      <c r="AD145" s="435"/>
    </row>
    <row r="146" spans="8:30" ht="12.75">
      <c r="H146" s="435"/>
      <c r="I146" s="436"/>
      <c r="J146" s="436"/>
      <c r="P146" s="440"/>
      <c r="Q146" s="439"/>
      <c r="R146" s="440"/>
      <c r="S146" s="440"/>
      <c r="T146" s="440"/>
      <c r="V146" s="435"/>
      <c r="W146" s="437"/>
      <c r="X146" s="437"/>
      <c r="Y146" s="437"/>
      <c r="Z146" s="435"/>
      <c r="AB146" s="435"/>
      <c r="AC146" s="437"/>
      <c r="AD146" s="435"/>
    </row>
    <row r="147" spans="8:30" ht="12.75">
      <c r="H147" s="435"/>
      <c r="I147" s="436"/>
      <c r="J147" s="436"/>
      <c r="P147" s="440"/>
      <c r="Q147" s="439"/>
      <c r="R147" s="440"/>
      <c r="S147" s="440"/>
      <c r="T147" s="440"/>
      <c r="V147" s="435"/>
      <c r="W147" s="437"/>
      <c r="X147" s="437"/>
      <c r="Y147" s="437"/>
      <c r="Z147" s="435"/>
      <c r="AB147" s="435"/>
      <c r="AC147" s="437"/>
      <c r="AD147" s="435"/>
    </row>
    <row r="148" spans="8:30" ht="12.75">
      <c r="H148" s="435"/>
      <c r="I148" s="436"/>
      <c r="J148" s="436"/>
      <c r="P148" s="440"/>
      <c r="Q148" s="439"/>
      <c r="R148" s="440"/>
      <c r="S148" s="440"/>
      <c r="T148" s="440"/>
      <c r="V148" s="435"/>
      <c r="W148" s="437"/>
      <c r="X148" s="437"/>
      <c r="Y148" s="437"/>
      <c r="Z148" s="435"/>
      <c r="AB148" s="435"/>
      <c r="AC148" s="437"/>
      <c r="AD148" s="435"/>
    </row>
    <row r="149" spans="8:30" ht="12.75">
      <c r="H149" s="435"/>
      <c r="I149" s="436"/>
      <c r="J149" s="436"/>
      <c r="P149" s="440"/>
      <c r="Q149" s="439"/>
      <c r="R149" s="440"/>
      <c r="S149" s="440"/>
      <c r="T149" s="440"/>
      <c r="V149" s="435"/>
      <c r="W149" s="437"/>
      <c r="X149" s="437"/>
      <c r="Y149" s="437"/>
      <c r="Z149" s="435"/>
      <c r="AB149" s="435"/>
      <c r="AC149" s="437"/>
      <c r="AD149" s="435"/>
    </row>
    <row r="150" spans="8:30" ht="12.75">
      <c r="H150" s="435"/>
      <c r="I150" s="436"/>
      <c r="J150" s="436"/>
      <c r="P150" s="440"/>
      <c r="Q150" s="439"/>
      <c r="R150" s="440"/>
      <c r="S150" s="440"/>
      <c r="T150" s="440"/>
      <c r="V150" s="435"/>
      <c r="W150" s="437"/>
      <c r="X150" s="437"/>
      <c r="Y150" s="437"/>
      <c r="Z150" s="435"/>
      <c r="AB150" s="435"/>
      <c r="AC150" s="437"/>
      <c r="AD150" s="435"/>
    </row>
    <row r="151" spans="8:15" ht="13.5">
      <c r="H151" s="119"/>
      <c r="I151" s="441"/>
      <c r="J151" s="441"/>
      <c r="O151" s="442" t="s">
        <v>688</v>
      </c>
    </row>
    <row r="152" spans="8:10" ht="12.75" customHeight="1">
      <c r="H152" s="119"/>
      <c r="I152" s="441"/>
      <c r="J152" s="441"/>
    </row>
    <row r="153" spans="8:10" ht="12.75" customHeight="1">
      <c r="H153" s="119"/>
      <c r="I153" s="441"/>
      <c r="J153" s="441"/>
    </row>
    <row r="154" spans="8:10" ht="12.75" customHeight="1">
      <c r="H154" s="119"/>
      <c r="I154" s="441"/>
      <c r="J154" s="441"/>
    </row>
    <row r="155" spans="8:10" ht="12.75" customHeight="1">
      <c r="H155" s="119"/>
      <c r="I155" s="441"/>
      <c r="J155" s="441"/>
    </row>
    <row r="156" spans="8:10" ht="12.75">
      <c r="H156" s="119"/>
      <c r="I156" s="441"/>
      <c r="J156" s="441"/>
    </row>
    <row r="157" spans="8:10" ht="12.75">
      <c r="H157" s="119"/>
      <c r="I157" s="441"/>
      <c r="J157" s="441"/>
    </row>
    <row r="158" spans="8:10" ht="12.75">
      <c r="H158" s="119"/>
      <c r="I158" s="441"/>
      <c r="J158" s="441"/>
    </row>
    <row r="159" spans="8:10" ht="12.75">
      <c r="H159" s="119"/>
      <c r="I159" s="441"/>
      <c r="J159" s="441"/>
    </row>
    <row r="160" spans="8:10" ht="12.75">
      <c r="H160" s="119"/>
      <c r="I160" s="441"/>
      <c r="J160" s="441"/>
    </row>
    <row r="161" spans="8:10" ht="12.75">
      <c r="H161" s="119"/>
      <c r="I161" s="441"/>
      <c r="J161" s="441"/>
    </row>
    <row r="162" spans="8:10" ht="12.75">
      <c r="H162" s="119"/>
      <c r="I162" s="441"/>
      <c r="J162" s="441"/>
    </row>
    <row r="163" spans="8:10" ht="12.75">
      <c r="H163" s="119"/>
      <c r="I163" s="441"/>
      <c r="J163" s="441"/>
    </row>
    <row r="164" spans="8:10" ht="12.75">
      <c r="H164" s="119"/>
      <c r="I164" s="441"/>
      <c r="J164" s="441"/>
    </row>
    <row r="165" spans="8:10" ht="12.75">
      <c r="H165" s="119"/>
      <c r="I165" s="441"/>
      <c r="J165" s="441"/>
    </row>
    <row r="166" spans="8:10" ht="12.75">
      <c r="H166" s="119"/>
      <c r="I166" s="441"/>
      <c r="J166" s="441"/>
    </row>
    <row r="167" spans="8:10" ht="12.75">
      <c r="H167" s="119"/>
      <c r="I167" s="441"/>
      <c r="J167" s="441"/>
    </row>
    <row r="168" spans="8:10" ht="12.75">
      <c r="H168" s="119"/>
      <c r="I168" s="441"/>
      <c r="J168" s="441"/>
    </row>
    <row r="169" spans="8:10" ht="12.75">
      <c r="H169" s="119"/>
      <c r="I169" s="441"/>
      <c r="J169" s="441"/>
    </row>
    <row r="170" spans="8:10" ht="12.75">
      <c r="H170" s="119"/>
      <c r="I170" s="441"/>
      <c r="J170" s="441"/>
    </row>
    <row r="171" spans="8:10" ht="12.75">
      <c r="H171" s="119"/>
      <c r="I171" s="441"/>
      <c r="J171" s="441"/>
    </row>
    <row r="172" spans="8:10" ht="12.75">
      <c r="H172" s="119"/>
      <c r="I172" s="441"/>
      <c r="J172" s="441"/>
    </row>
    <row r="173" spans="8:10" ht="12.75">
      <c r="H173" s="119"/>
      <c r="I173" s="441"/>
      <c r="J173" s="441"/>
    </row>
    <row r="174" spans="8:10" ht="12.75">
      <c r="H174" s="119"/>
      <c r="I174" s="441"/>
      <c r="J174" s="441"/>
    </row>
    <row r="175" spans="8:10" ht="12.75">
      <c r="H175" s="119"/>
      <c r="I175" s="441"/>
      <c r="J175" s="441"/>
    </row>
    <row r="176" spans="8:10" ht="12.75">
      <c r="H176" s="119"/>
      <c r="I176" s="441"/>
      <c r="J176" s="441"/>
    </row>
    <row r="177" spans="8:10" ht="12.75">
      <c r="H177" s="119"/>
      <c r="I177" s="441"/>
      <c r="J177" s="441"/>
    </row>
    <row r="178" spans="8:10" ht="12.75">
      <c r="H178" s="119"/>
      <c r="I178" s="441"/>
      <c r="J178" s="441"/>
    </row>
    <row r="179" spans="8:10" ht="12.75">
      <c r="H179" s="119"/>
      <c r="I179" s="441"/>
      <c r="J179" s="441"/>
    </row>
    <row r="180" spans="8:10" ht="12.75">
      <c r="H180" s="119"/>
      <c r="I180" s="441"/>
      <c r="J180" s="441"/>
    </row>
    <row r="181" spans="8:10" ht="12.75">
      <c r="H181" s="119"/>
      <c r="I181" s="441"/>
      <c r="J181" s="441"/>
    </row>
    <row r="182" spans="8:10" ht="12.75">
      <c r="H182" s="119"/>
      <c r="I182" s="441"/>
      <c r="J182" s="441"/>
    </row>
    <row r="183" spans="8:10" ht="12.75">
      <c r="H183" s="119"/>
      <c r="I183" s="441"/>
      <c r="J183" s="441"/>
    </row>
    <row r="184" spans="8:10" ht="12.75">
      <c r="H184" s="119"/>
      <c r="I184" s="441"/>
      <c r="J184" s="441"/>
    </row>
    <row r="185" spans="8:10" ht="12.75">
      <c r="H185" s="119"/>
      <c r="I185" s="441"/>
      <c r="J185" s="441"/>
    </row>
    <row r="186" spans="8:10" ht="12.75">
      <c r="H186" s="119"/>
      <c r="I186" s="441"/>
      <c r="J186" s="441"/>
    </row>
    <row r="187" spans="8:10" ht="12.75">
      <c r="H187" s="119"/>
      <c r="I187" s="441"/>
      <c r="J187" s="441"/>
    </row>
    <row r="188" spans="8:10" ht="12.75">
      <c r="H188" s="119"/>
      <c r="I188" s="441"/>
      <c r="J188" s="441"/>
    </row>
    <row r="189" spans="8:10" ht="12.75">
      <c r="H189" s="119"/>
      <c r="I189" s="441"/>
      <c r="J189" s="441"/>
    </row>
    <row r="190" spans="8:10" ht="12.75">
      <c r="H190" s="119"/>
      <c r="I190" s="441"/>
      <c r="J190" s="441"/>
    </row>
    <row r="191" spans="8:10" ht="12.75">
      <c r="H191" s="119"/>
      <c r="I191" s="441"/>
      <c r="J191" s="441"/>
    </row>
    <row r="192" spans="8:10" ht="12.75">
      <c r="H192" s="119"/>
      <c r="I192" s="441"/>
      <c r="J192" s="441"/>
    </row>
    <row r="193" spans="8:10" ht="12.75">
      <c r="H193" s="119"/>
      <c r="I193" s="441"/>
      <c r="J193" s="441"/>
    </row>
    <row r="194" spans="8:10" ht="12.75">
      <c r="H194" s="119"/>
      <c r="I194" s="441"/>
      <c r="J194" s="441"/>
    </row>
    <row r="195" spans="8:10" ht="12.75">
      <c r="H195" s="119"/>
      <c r="I195" s="441"/>
      <c r="J195" s="441"/>
    </row>
    <row r="196" spans="8:10" ht="12.75">
      <c r="H196" s="119"/>
      <c r="I196" s="441"/>
      <c r="J196" s="441"/>
    </row>
    <row r="197" spans="8:10" ht="12.75">
      <c r="H197" s="119"/>
      <c r="I197" s="441"/>
      <c r="J197" s="441"/>
    </row>
    <row r="198" spans="8:10" ht="12.75">
      <c r="H198" s="119"/>
      <c r="I198" s="441"/>
      <c r="J198" s="441"/>
    </row>
    <row r="199" spans="8:10" ht="12.75">
      <c r="H199" s="119"/>
      <c r="I199" s="441"/>
      <c r="J199" s="441"/>
    </row>
    <row r="200" spans="8:10" ht="12.75">
      <c r="H200" s="119"/>
      <c r="I200" s="441"/>
      <c r="J200" s="441"/>
    </row>
    <row r="201" spans="8:10" ht="12.75">
      <c r="H201" s="119"/>
      <c r="I201" s="441"/>
      <c r="J201" s="441"/>
    </row>
    <row r="202" spans="8:10" ht="12.75">
      <c r="H202" s="119"/>
      <c r="I202" s="441"/>
      <c r="J202" s="441"/>
    </row>
    <row r="203" spans="8:10" ht="12.75">
      <c r="H203" s="119"/>
      <c r="I203" s="441"/>
      <c r="J203" s="441"/>
    </row>
    <row r="204" spans="8:10" ht="12.75">
      <c r="H204" s="119"/>
      <c r="I204" s="441"/>
      <c r="J204" s="441"/>
    </row>
    <row r="205" spans="8:10" ht="12.75">
      <c r="H205" s="119"/>
      <c r="I205" s="441"/>
      <c r="J205" s="441"/>
    </row>
    <row r="206" spans="8:10" ht="12.75">
      <c r="H206" s="119"/>
      <c r="I206" s="441"/>
      <c r="J206" s="441"/>
    </row>
    <row r="207" spans="8:10" ht="12.75">
      <c r="H207" s="119"/>
      <c r="I207" s="441"/>
      <c r="J207" s="441"/>
    </row>
    <row r="208" spans="8:10" ht="12.75">
      <c r="H208" s="119"/>
      <c r="I208" s="441"/>
      <c r="J208" s="441"/>
    </row>
    <row r="209" spans="8:10" ht="12.75">
      <c r="H209" s="119"/>
      <c r="I209" s="441"/>
      <c r="J209" s="441"/>
    </row>
    <row r="210" spans="8:10" ht="12.75">
      <c r="H210" s="119"/>
      <c r="I210" s="441"/>
      <c r="J210" s="441"/>
    </row>
    <row r="211" spans="8:10" ht="12.75">
      <c r="H211" s="119"/>
      <c r="I211" s="441"/>
      <c r="J211" s="441"/>
    </row>
    <row r="212" spans="8:10" ht="12.75">
      <c r="H212" s="119"/>
      <c r="I212" s="441"/>
      <c r="J212" s="441"/>
    </row>
    <row r="213" spans="8:10" ht="12.75">
      <c r="H213" s="119"/>
      <c r="I213" s="441"/>
      <c r="J213" s="441"/>
    </row>
    <row r="214" spans="8:10" ht="12.75">
      <c r="H214" s="119"/>
      <c r="I214" s="441"/>
      <c r="J214" s="441"/>
    </row>
    <row r="215" spans="8:10" ht="12.75">
      <c r="H215" s="119"/>
      <c r="I215" s="441"/>
      <c r="J215" s="441"/>
    </row>
    <row r="216" spans="8:10" ht="12.75">
      <c r="H216" s="119"/>
      <c r="I216" s="441"/>
      <c r="J216" s="441"/>
    </row>
    <row r="217" spans="8:10" ht="12.75">
      <c r="H217" s="119"/>
      <c r="I217" s="441"/>
      <c r="J217" s="441"/>
    </row>
    <row r="218" spans="8:10" ht="12.75">
      <c r="H218" s="119"/>
      <c r="I218" s="441"/>
      <c r="J218" s="441"/>
    </row>
    <row r="219" spans="8:10" ht="12.75">
      <c r="H219" s="119"/>
      <c r="I219" s="441"/>
      <c r="J219" s="441"/>
    </row>
    <row r="220" spans="8:10" ht="12.75">
      <c r="H220" s="119"/>
      <c r="I220" s="441"/>
      <c r="J220" s="441"/>
    </row>
    <row r="221" spans="8:10" ht="12.75">
      <c r="H221" s="119"/>
      <c r="I221" s="441"/>
      <c r="J221" s="441"/>
    </row>
    <row r="222" spans="8:10" ht="12.75">
      <c r="H222" s="119"/>
      <c r="I222" s="441"/>
      <c r="J222" s="441"/>
    </row>
    <row r="223" spans="8:10" ht="12.75">
      <c r="H223" s="119"/>
      <c r="I223" s="441"/>
      <c r="J223" s="441"/>
    </row>
    <row r="224" spans="8:10" ht="12.75">
      <c r="H224" s="119"/>
      <c r="I224" s="441"/>
      <c r="J224" s="441"/>
    </row>
    <row r="225" spans="8:10" ht="12.75">
      <c r="H225" s="119"/>
      <c r="I225" s="441"/>
      <c r="J225" s="441"/>
    </row>
    <row r="226" spans="8:10" ht="12.75">
      <c r="H226" s="119"/>
      <c r="I226" s="441"/>
      <c r="J226" s="441"/>
    </row>
    <row r="227" spans="8:10" ht="12.75">
      <c r="H227" s="119"/>
      <c r="I227" s="441"/>
      <c r="J227" s="441"/>
    </row>
    <row r="228" spans="8:10" ht="12.75">
      <c r="H228" s="119"/>
      <c r="I228" s="441"/>
      <c r="J228" s="441"/>
    </row>
    <row r="229" spans="8:10" ht="12.75">
      <c r="H229" s="119"/>
      <c r="I229" s="441"/>
      <c r="J229" s="441"/>
    </row>
    <row r="230" spans="8:10" ht="12.75">
      <c r="H230" s="119"/>
      <c r="I230" s="441"/>
      <c r="J230" s="441"/>
    </row>
    <row r="231" spans="8:10" ht="12.75">
      <c r="H231" s="119"/>
      <c r="I231" s="441"/>
      <c r="J231" s="441"/>
    </row>
    <row r="232" spans="8:10" ht="12.75">
      <c r="H232" s="119"/>
      <c r="I232" s="441"/>
      <c r="J232" s="441"/>
    </row>
    <row r="233" spans="8:10" ht="12.75">
      <c r="H233" s="119"/>
      <c r="I233" s="441"/>
      <c r="J233" s="441"/>
    </row>
    <row r="234" spans="8:10" ht="12.75">
      <c r="H234" s="119"/>
      <c r="I234" s="441"/>
      <c r="J234" s="441"/>
    </row>
    <row r="235" spans="8:10" ht="12.75">
      <c r="H235" s="119"/>
      <c r="I235" s="441"/>
      <c r="J235" s="441"/>
    </row>
    <row r="236" spans="8:10" ht="12.75">
      <c r="H236" s="119"/>
      <c r="I236" s="441"/>
      <c r="J236" s="441"/>
    </row>
    <row r="237" spans="8:10" ht="12.75">
      <c r="H237" s="119"/>
      <c r="I237" s="441"/>
      <c r="J237" s="441"/>
    </row>
    <row r="238" spans="8:10" ht="12.75">
      <c r="H238" s="119"/>
      <c r="I238" s="441"/>
      <c r="J238" s="441"/>
    </row>
    <row r="239" spans="8:10" ht="12.75">
      <c r="H239" s="119"/>
      <c r="I239" s="441"/>
      <c r="J239" s="441"/>
    </row>
    <row r="240" spans="8:10" ht="12.75">
      <c r="H240" s="119"/>
      <c r="I240" s="441"/>
      <c r="J240" s="441"/>
    </row>
    <row r="241" spans="8:10" ht="12.75">
      <c r="H241" s="119"/>
      <c r="I241" s="441"/>
      <c r="J241" s="441"/>
    </row>
    <row r="242" spans="8:10" ht="12.75">
      <c r="H242" s="119"/>
      <c r="I242" s="441"/>
      <c r="J242" s="441"/>
    </row>
    <row r="243" spans="8:10" ht="12.75">
      <c r="H243" s="119"/>
      <c r="I243" s="441"/>
      <c r="J243" s="441"/>
    </row>
    <row r="244" spans="8:10" ht="12.75">
      <c r="H244" s="119"/>
      <c r="I244" s="441"/>
      <c r="J244" s="441"/>
    </row>
    <row r="245" spans="8:10" ht="12.75">
      <c r="H245" s="119"/>
      <c r="I245" s="441"/>
      <c r="J245" s="441"/>
    </row>
    <row r="246" spans="8:10" ht="12.75">
      <c r="H246" s="119"/>
      <c r="I246" s="441"/>
      <c r="J246" s="441"/>
    </row>
    <row r="247" spans="8:10" ht="12.75">
      <c r="H247" s="119"/>
      <c r="I247" s="441"/>
      <c r="J247" s="441"/>
    </row>
    <row r="248" spans="8:10" ht="12.75">
      <c r="H248" s="119"/>
      <c r="I248" s="441"/>
      <c r="J248" s="441"/>
    </row>
    <row r="249" spans="8:10" ht="12.75">
      <c r="H249" s="119"/>
      <c r="I249" s="441"/>
      <c r="J249" s="441"/>
    </row>
    <row r="250" spans="8:10" ht="12.75">
      <c r="H250" s="119"/>
      <c r="I250" s="441"/>
      <c r="J250" s="441"/>
    </row>
    <row r="251" spans="8:10" ht="12.75">
      <c r="H251" s="119"/>
      <c r="I251" s="441"/>
      <c r="J251" s="441"/>
    </row>
    <row r="252" spans="8:10" ht="12.75">
      <c r="H252" s="119"/>
      <c r="I252" s="441"/>
      <c r="J252" s="441"/>
    </row>
    <row r="253" spans="8:10" ht="12.75">
      <c r="H253" s="119"/>
      <c r="I253" s="441"/>
      <c r="J253" s="441"/>
    </row>
    <row r="254" spans="8:10" ht="12.75">
      <c r="H254" s="119"/>
      <c r="I254" s="441"/>
      <c r="J254" s="441"/>
    </row>
    <row r="255" spans="8:10" ht="12.75">
      <c r="H255" s="119"/>
      <c r="I255" s="441"/>
      <c r="J255" s="441"/>
    </row>
    <row r="256" spans="8:10" ht="12.75">
      <c r="H256" s="119"/>
      <c r="I256" s="441"/>
      <c r="J256" s="441"/>
    </row>
    <row r="257" spans="8:10" ht="12.75">
      <c r="H257" s="119"/>
      <c r="I257" s="441"/>
      <c r="J257" s="441"/>
    </row>
    <row r="258" spans="8:10" ht="12.75">
      <c r="H258" s="119"/>
      <c r="I258" s="441"/>
      <c r="J258" s="441"/>
    </row>
    <row r="259" spans="8:10" ht="12.75">
      <c r="H259" s="119"/>
      <c r="I259" s="441"/>
      <c r="J259" s="441"/>
    </row>
    <row r="260" spans="8:10" ht="12.75">
      <c r="H260" s="119"/>
      <c r="I260" s="441"/>
      <c r="J260" s="441"/>
    </row>
    <row r="261" spans="8:10" ht="12.75">
      <c r="H261" s="119"/>
      <c r="I261" s="441"/>
      <c r="J261" s="441"/>
    </row>
    <row r="262" spans="8:10" ht="12.75">
      <c r="H262" s="119"/>
      <c r="I262" s="441"/>
      <c r="J262" s="441"/>
    </row>
    <row r="263" spans="8:10" ht="12.75">
      <c r="H263" s="119"/>
      <c r="I263" s="441"/>
      <c r="J263" s="441"/>
    </row>
    <row r="264" spans="8:10" ht="12.75">
      <c r="H264" s="119"/>
      <c r="I264" s="441"/>
      <c r="J264" s="441"/>
    </row>
    <row r="265" spans="8:10" ht="12.75">
      <c r="H265" s="119"/>
      <c r="I265" s="441"/>
      <c r="J265" s="441"/>
    </row>
    <row r="266" spans="8:10" ht="12.75">
      <c r="H266" s="119"/>
      <c r="I266" s="441"/>
      <c r="J266" s="441"/>
    </row>
    <row r="267" spans="8:10" ht="12.75">
      <c r="H267" s="119"/>
      <c r="I267" s="441"/>
      <c r="J267" s="441"/>
    </row>
    <row r="268" spans="8:10" ht="12.75">
      <c r="H268" s="119"/>
      <c r="I268" s="441"/>
      <c r="J268" s="441"/>
    </row>
    <row r="269" spans="8:10" ht="12.75">
      <c r="H269" s="119"/>
      <c r="I269" s="441"/>
      <c r="J269" s="441"/>
    </row>
    <row r="270" spans="8:10" ht="12.75">
      <c r="H270" s="119"/>
      <c r="I270" s="441"/>
      <c r="J270" s="441"/>
    </row>
    <row r="271" spans="8:10" ht="12.75">
      <c r="H271" s="119"/>
      <c r="I271" s="441"/>
      <c r="J271" s="441"/>
    </row>
    <row r="272" spans="8:10" ht="12.75">
      <c r="H272" s="119"/>
      <c r="I272" s="441"/>
      <c r="J272" s="441"/>
    </row>
    <row r="273" spans="8:10" ht="12.75">
      <c r="H273" s="119"/>
      <c r="I273" s="441"/>
      <c r="J273" s="441"/>
    </row>
    <row r="274" spans="8:10" ht="12.75">
      <c r="H274" s="119"/>
      <c r="I274" s="441"/>
      <c r="J274" s="441"/>
    </row>
    <row r="275" spans="8:10" ht="12.75">
      <c r="H275" s="119"/>
      <c r="I275" s="441"/>
      <c r="J275" s="441"/>
    </row>
    <row r="276" spans="8:10" ht="12.75">
      <c r="H276" s="119"/>
      <c r="I276" s="441"/>
      <c r="J276" s="441"/>
    </row>
    <row r="277" spans="8:10" ht="12.75">
      <c r="H277" s="119"/>
      <c r="I277" s="441"/>
      <c r="J277" s="441"/>
    </row>
    <row r="278" spans="8:10" ht="12.75">
      <c r="H278" s="119"/>
      <c r="I278" s="441"/>
      <c r="J278" s="441"/>
    </row>
    <row r="279" spans="8:10" ht="12.75">
      <c r="H279" s="119"/>
      <c r="I279" s="441"/>
      <c r="J279" s="44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Steeman</dc:creator>
  <cp:keywords/>
  <dc:description/>
  <cp:lastModifiedBy>David Steeman</cp:lastModifiedBy>
  <cp:lastPrinted>2012-08-25T11:35:57Z</cp:lastPrinted>
  <dcterms:created xsi:type="dcterms:W3CDTF">2012-01-16T16:44:29Z</dcterms:created>
  <dcterms:modified xsi:type="dcterms:W3CDTF">2014-07-06T08:18:08Z</dcterms:modified>
  <cp:category/>
  <cp:version/>
  <cp:contentType/>
  <cp:contentStatus/>
</cp:coreProperties>
</file>